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-15" windowWidth="15315" windowHeight="8160" firstSheet="15" activeTab="15"/>
  </bookViews>
  <sheets>
    <sheet name="авар2" sheetId="9" state="hidden" r:id="rId1"/>
    <sheet name="авар1" sheetId="8" state="hidden" r:id="rId2"/>
    <sheet name="небл.ж2" sheetId="7" state="hidden" r:id="rId3"/>
    <sheet name="полубл.ж2" sheetId="5" state="hidden" r:id="rId4"/>
    <sheet name="полубл.ж1" sheetId="4" state="hidden" r:id="rId5"/>
    <sheet name="Лист1" sheetId="82" state="hidden" r:id="rId6"/>
    <sheet name="расч" sheetId="49" state="hidden" r:id="rId7"/>
    <sheet name="смета" sheetId="42" state="hidden" r:id="rId8"/>
    <sheet name="таб.4" sheetId="83" state="hidden" r:id="rId9"/>
    <sheet name="таб.6" sheetId="73" state="hidden" r:id="rId10"/>
    <sheet name="таб5.1" sheetId="72" state="hidden" r:id="rId11"/>
    <sheet name="распред" sheetId="71" state="hidden" r:id="rId12"/>
    <sheet name="Лист6" sheetId="69" state="hidden" r:id="rId13"/>
    <sheet name="табл.1.2" sheetId="67" state="hidden" r:id="rId14"/>
    <sheet name="табл.1" sheetId="44" state="hidden" r:id="rId15"/>
    <sheet name="обяз" sheetId="65" r:id="rId16"/>
    <sheet name="об.небл" sheetId="80" r:id="rId17"/>
    <sheet name="доп.небл" sheetId="81" r:id="rId18"/>
    <sheet name="до.полуб" sheetId="79" state="hidden" r:id="rId19"/>
    <sheet name="об.полубл" sheetId="78" state="hidden" r:id="rId20"/>
    <sheet name="до.малоэт" sheetId="60" state="hidden" r:id="rId21"/>
    <sheet name="об.малоэт" sheetId="61" state="hidden" r:id="rId22"/>
    <sheet name="доп.многоэт" sheetId="10" state="hidden" r:id="rId23"/>
    <sheet name="благ.ж2" sheetId="3" state="hidden" r:id="rId24"/>
    <sheet name="небл.ж1" sheetId="6" state="hidden" r:id="rId25"/>
    <sheet name="доп.усл." sheetId="66" r:id="rId26"/>
    <sheet name="об.многоэт" sheetId="2" state="hidden" r:id="rId27"/>
  </sheets>
  <externalReferences>
    <externalReference r:id="rId28"/>
    <externalReference r:id="rId29"/>
    <externalReference r:id="rId30"/>
    <externalReference r:id="rId31"/>
  </externalReferences>
  <calcPr calcId="125725"/>
</workbook>
</file>

<file path=xl/calcChain.xml><?xml version="1.0" encoding="utf-8"?>
<calcChain xmlns="http://schemas.openxmlformats.org/spreadsheetml/2006/main">
  <c r="L8" i="49"/>
  <c r="D27" s="1"/>
  <c r="F27" s="1"/>
  <c r="K8"/>
  <c r="M8"/>
  <c r="E35" s="1"/>
  <c r="J8"/>
  <c r="I9" i="82" s="1"/>
  <c r="G9" s="1"/>
  <c r="C25" i="83"/>
  <c r="C24" s="1"/>
  <c r="F24" s="1"/>
  <c r="D25"/>
  <c r="D24"/>
  <c r="E25"/>
  <c r="B13" i="66"/>
  <c r="B15" s="1"/>
  <c r="B13" i="79"/>
  <c r="C13"/>
  <c r="B14"/>
  <c r="B15"/>
  <c r="D21" i="80"/>
  <c r="B13" i="81"/>
  <c r="B15" s="1"/>
  <c r="C15" s="1"/>
  <c r="D31"/>
  <c r="E31" s="1"/>
  <c r="E96" s="1"/>
  <c r="D34"/>
  <c r="E34" s="1"/>
  <c r="D47"/>
  <c r="E47" s="1"/>
  <c r="D49"/>
  <c r="D75"/>
  <c r="D76"/>
  <c r="D23" i="61"/>
  <c r="C23" s="1"/>
  <c r="D23" i="80"/>
  <c r="D24" i="61"/>
  <c r="C24" s="1"/>
  <c r="D24" i="80"/>
  <c r="G13" i="65"/>
  <c r="G14"/>
  <c r="G16"/>
  <c r="G17"/>
  <c r="F15" i="80"/>
  <c r="F16"/>
  <c r="F18"/>
  <c r="C18"/>
  <c r="C16" i="65"/>
  <c r="C11"/>
  <c r="D84" i="81"/>
  <c r="E84"/>
  <c r="D91" i="66"/>
  <c r="D94"/>
  <c r="E94"/>
  <c r="D60" i="81"/>
  <c r="D50"/>
  <c r="D13"/>
  <c r="D15" i="80"/>
  <c r="F12" i="61"/>
  <c r="F13"/>
  <c r="C13"/>
  <c r="F13" i="78"/>
  <c r="F14"/>
  <c r="F16"/>
  <c r="C13"/>
  <c r="D66" i="79"/>
  <c r="D14" i="78"/>
  <c r="C14"/>
  <c r="D13"/>
  <c r="D11"/>
  <c r="C11"/>
  <c r="D78" i="60"/>
  <c r="D91"/>
  <c r="D90"/>
  <c r="D13" i="66"/>
  <c r="D28"/>
  <c r="D95"/>
  <c r="E95"/>
  <c r="D37"/>
  <c r="D16" i="65"/>
  <c r="D14"/>
  <c r="C14"/>
  <c r="D13"/>
  <c r="C13"/>
  <c r="J11"/>
  <c r="D11"/>
  <c r="E46" i="79"/>
  <c r="D31" i="66"/>
  <c r="D18" i="60"/>
  <c r="R8" i="71"/>
  <c r="R9" s="1"/>
  <c r="E10" i="83"/>
  <c r="E21" s="1"/>
  <c r="D10"/>
  <c r="D9"/>
  <c r="C10"/>
  <c r="C21"/>
  <c r="C8"/>
  <c r="E9"/>
  <c r="D21"/>
  <c r="D20"/>
  <c r="E24"/>
  <c r="F25"/>
  <c r="C25" i="49"/>
  <c r="F25" s="1"/>
  <c r="E31"/>
  <c r="C37"/>
  <c r="I8"/>
  <c r="D82" i="66"/>
  <c r="D80"/>
  <c r="D96"/>
  <c r="E96"/>
  <c r="D24" i="65"/>
  <c r="D23"/>
  <c r="D21"/>
  <c r="D90" i="66"/>
  <c r="D78"/>
  <c r="D72"/>
  <c r="D66"/>
  <c r="D55"/>
  <c r="D50"/>
  <c r="D47"/>
  <c r="E47"/>
  <c r="D41"/>
  <c r="D40"/>
  <c r="D38"/>
  <c r="D34"/>
  <c r="D33"/>
  <c r="D33" i="81"/>
  <c r="F17" i="44"/>
  <c r="F16"/>
  <c r="F12"/>
  <c r="F11"/>
  <c r="F14" s="1"/>
  <c r="F13"/>
  <c r="D40" i="60"/>
  <c r="D34"/>
  <c r="E34"/>
  <c r="D18" i="81"/>
  <c r="E13"/>
  <c r="E18"/>
  <c r="E20"/>
  <c r="E33"/>
  <c r="E60"/>
  <c r="E76"/>
  <c r="E90"/>
  <c r="D83" i="79"/>
  <c r="E83"/>
  <c r="D84"/>
  <c r="D85"/>
  <c r="D86"/>
  <c r="D87"/>
  <c r="D89"/>
  <c r="D90"/>
  <c r="D91"/>
  <c r="F19" i="78"/>
  <c r="C19"/>
  <c r="D23"/>
  <c r="E13" i="79"/>
  <c r="E14"/>
  <c r="E15"/>
  <c r="E16"/>
  <c r="E17"/>
  <c r="E18"/>
  <c r="E19"/>
  <c r="E21"/>
  <c r="E22"/>
  <c r="E24"/>
  <c r="E25"/>
  <c r="E26"/>
  <c r="E27"/>
  <c r="E29"/>
  <c r="E30"/>
  <c r="E31"/>
  <c r="E32"/>
  <c r="E33"/>
  <c r="E34"/>
  <c r="E35"/>
  <c r="E36"/>
  <c r="E37"/>
  <c r="E39"/>
  <c r="E40"/>
  <c r="E41"/>
  <c r="E43"/>
  <c r="E44"/>
  <c r="E45"/>
  <c r="E48"/>
  <c r="E49"/>
  <c r="E50"/>
  <c r="E51"/>
  <c r="E52"/>
  <c r="E53"/>
  <c r="E54"/>
  <c r="E55"/>
  <c r="E56"/>
  <c r="E57"/>
  <c r="E58"/>
  <c r="E59"/>
  <c r="E60"/>
  <c r="E62"/>
  <c r="E63"/>
  <c r="E64"/>
  <c r="E65"/>
  <c r="E66"/>
  <c r="E67"/>
  <c r="E69"/>
  <c r="E70"/>
  <c r="E71"/>
  <c r="E72"/>
  <c r="E77"/>
  <c r="E79"/>
  <c r="E81"/>
  <c r="E84"/>
  <c r="E85"/>
  <c r="E87"/>
  <c r="E89"/>
  <c r="E91"/>
  <c r="E93"/>
  <c r="E75"/>
  <c r="E74"/>
  <c r="D16" i="78"/>
  <c r="D17"/>
  <c r="D19"/>
  <c r="D24"/>
  <c r="D47" i="60"/>
  <c r="E47"/>
  <c r="D22"/>
  <c r="D21" i="61"/>
  <c r="D19"/>
  <c r="D15"/>
  <c r="E15" i="81"/>
  <c r="E16"/>
  <c r="E17"/>
  <c r="E19"/>
  <c r="E22"/>
  <c r="E23"/>
  <c r="E25"/>
  <c r="E26"/>
  <c r="E27"/>
  <c r="E28"/>
  <c r="E30"/>
  <c r="E32"/>
  <c r="E35"/>
  <c r="E36"/>
  <c r="E37"/>
  <c r="E38"/>
  <c r="E41"/>
  <c r="E42"/>
  <c r="E44"/>
  <c r="E45"/>
  <c r="E46"/>
  <c r="E51"/>
  <c r="E52"/>
  <c r="E53"/>
  <c r="E54"/>
  <c r="E55"/>
  <c r="E56"/>
  <c r="E57"/>
  <c r="E58"/>
  <c r="E59"/>
  <c r="E61"/>
  <c r="E63"/>
  <c r="E68"/>
  <c r="E70"/>
  <c r="E71"/>
  <c r="E72"/>
  <c r="E73"/>
  <c r="E78"/>
  <c r="E80"/>
  <c r="E82"/>
  <c r="E85"/>
  <c r="E86"/>
  <c r="E87"/>
  <c r="E88"/>
  <c r="E91"/>
  <c r="E92"/>
  <c r="E94"/>
  <c r="E95"/>
  <c r="E67"/>
  <c r="E66"/>
  <c r="E65"/>
  <c r="E64"/>
  <c r="F10" i="80"/>
  <c r="C10" s="1"/>
  <c r="F12"/>
  <c r="C12" s="1"/>
  <c r="C13"/>
  <c r="F22"/>
  <c r="C22" s="1"/>
  <c r="F22" i="61"/>
  <c r="C22"/>
  <c r="E16" i="66"/>
  <c r="E17"/>
  <c r="E20"/>
  <c r="E22"/>
  <c r="E27"/>
  <c r="E28"/>
  <c r="E31"/>
  <c r="E34"/>
  <c r="E37"/>
  <c r="E40"/>
  <c r="E44"/>
  <c r="E46"/>
  <c r="E49"/>
  <c r="E54"/>
  <c r="E55"/>
  <c r="E57"/>
  <c r="E60"/>
  <c r="E63"/>
  <c r="E67"/>
  <c r="E71"/>
  <c r="E72"/>
  <c r="E82"/>
  <c r="E78"/>
  <c r="E90"/>
  <c r="E91"/>
  <c r="E15"/>
  <c r="E18"/>
  <c r="E19"/>
  <c r="E80"/>
  <c r="E92"/>
  <c r="E23"/>
  <c r="E25"/>
  <c r="E26"/>
  <c r="E30"/>
  <c r="E32"/>
  <c r="E35"/>
  <c r="E36"/>
  <c r="E42"/>
  <c r="E45"/>
  <c r="E51"/>
  <c r="E52"/>
  <c r="E53"/>
  <c r="E56"/>
  <c r="E58"/>
  <c r="E59"/>
  <c r="E61"/>
  <c r="E64"/>
  <c r="E65"/>
  <c r="E68"/>
  <c r="E70"/>
  <c r="E86"/>
  <c r="E88"/>
  <c r="E73"/>
  <c r="X47" i="71"/>
  <c r="Y47" s="1"/>
  <c r="V12"/>
  <c r="V13"/>
  <c r="X33"/>
  <c r="X30"/>
  <c r="X29"/>
  <c r="X28"/>
  <c r="X21"/>
  <c r="X18"/>
  <c r="X13"/>
  <c r="Y13"/>
  <c r="V8"/>
  <c r="V9"/>
  <c r="X9"/>
  <c r="W9" s="1"/>
  <c r="T47"/>
  <c r="R13"/>
  <c r="U14"/>
  <c r="T34"/>
  <c r="U34" s="1"/>
  <c r="T33"/>
  <c r="T30"/>
  <c r="T29"/>
  <c r="T28"/>
  <c r="S28" s="1"/>
  <c r="T21"/>
  <c r="T18"/>
  <c r="T9"/>
  <c r="S9" s="1"/>
  <c r="H12" i="42"/>
  <c r="H28"/>
  <c r="H38"/>
  <c r="H50"/>
  <c r="H44"/>
  <c r="H58"/>
  <c r="G28"/>
  <c r="G38"/>
  <c r="G58"/>
  <c r="G44"/>
  <c r="H37"/>
  <c r="G25"/>
  <c r="E24"/>
  <c r="G24"/>
  <c r="E23"/>
  <c r="G23"/>
  <c r="E22"/>
  <c r="G22"/>
  <c r="E21"/>
  <c r="G21"/>
  <c r="E20"/>
  <c r="G20"/>
  <c r="E19"/>
  <c r="G19"/>
  <c r="E18"/>
  <c r="G18"/>
  <c r="E17"/>
  <c r="G17"/>
  <c r="E16"/>
  <c r="G16"/>
  <c r="E15"/>
  <c r="G15"/>
  <c r="E14"/>
  <c r="G14"/>
  <c r="E13"/>
  <c r="G13"/>
  <c r="D8" i="72"/>
  <c r="E8" s="1"/>
  <c r="E24" s="1"/>
  <c r="E25" s="1"/>
  <c r="D9"/>
  <c r="D10"/>
  <c r="E10" s="1"/>
  <c r="I10" s="1"/>
  <c r="D11"/>
  <c r="E11" s="1"/>
  <c r="D12"/>
  <c r="D13"/>
  <c r="E13" s="1"/>
  <c r="I13" s="1"/>
  <c r="D14"/>
  <c r="E14" s="1"/>
  <c r="I14" s="1"/>
  <c r="D15"/>
  <c r="E15" s="1"/>
  <c r="I15" s="1"/>
  <c r="D16"/>
  <c r="E16"/>
  <c r="I16" s="1"/>
  <c r="D17"/>
  <c r="E17" s="1"/>
  <c r="D18"/>
  <c r="E18" s="1"/>
  <c r="I18" s="1"/>
  <c r="D19"/>
  <c r="E19" s="1"/>
  <c r="D20"/>
  <c r="D21"/>
  <c r="D22"/>
  <c r="E22" s="1"/>
  <c r="I22" s="1"/>
  <c r="D23"/>
  <c r="E23" s="1"/>
  <c r="I23" s="1"/>
  <c r="C7" i="7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P18" i="71"/>
  <c r="D88" i="66"/>
  <c r="D87"/>
  <c r="E87"/>
  <c r="D86"/>
  <c r="D85"/>
  <c r="E85"/>
  <c r="D84"/>
  <c r="C8" i="72"/>
  <c r="C11"/>
  <c r="D28"/>
  <c r="D31" s="1"/>
  <c r="D29"/>
  <c r="D30"/>
  <c r="E30" s="1"/>
  <c r="C9"/>
  <c r="E9"/>
  <c r="I9" s="1"/>
  <c r="C10"/>
  <c r="C12"/>
  <c r="E12"/>
  <c r="I12" s="1"/>
  <c r="C13"/>
  <c r="C14"/>
  <c r="C15"/>
  <c r="C16"/>
  <c r="C17"/>
  <c r="I17"/>
  <c r="C18"/>
  <c r="C19"/>
  <c r="C20"/>
  <c r="C22"/>
  <c r="H31"/>
  <c r="H32"/>
  <c r="H24"/>
  <c r="G31"/>
  <c r="G32"/>
  <c r="G24"/>
  <c r="G25"/>
  <c r="G26" s="1"/>
  <c r="F31"/>
  <c r="F24"/>
  <c r="F25"/>
  <c r="F26" s="1"/>
  <c r="D24"/>
  <c r="P30" i="71"/>
  <c r="P29"/>
  <c r="P28"/>
  <c r="O28" s="1"/>
  <c r="P21"/>
  <c r="P9"/>
  <c r="P47"/>
  <c r="N12"/>
  <c r="R12"/>
  <c r="T12"/>
  <c r="N13"/>
  <c r="Q14"/>
  <c r="N23"/>
  <c r="J10"/>
  <c r="J11"/>
  <c r="J9"/>
  <c r="J21"/>
  <c r="I47"/>
  <c r="F27" i="44"/>
  <c r="F28" s="1"/>
  <c r="P34" i="71"/>
  <c r="L34"/>
  <c r="I34"/>
  <c r="P33"/>
  <c r="I33"/>
  <c r="N30"/>
  <c r="R30"/>
  <c r="V30"/>
  <c r="K30"/>
  <c r="H30"/>
  <c r="F29"/>
  <c r="H29" s="1"/>
  <c r="L28"/>
  <c r="J23"/>
  <c r="M24"/>
  <c r="F24"/>
  <c r="H24" s="1"/>
  <c r="P23"/>
  <c r="J22"/>
  <c r="M23"/>
  <c r="K23"/>
  <c r="F23"/>
  <c r="H23"/>
  <c r="I23" s="1"/>
  <c r="F22"/>
  <c r="F21" s="1"/>
  <c r="H22"/>
  <c r="L21"/>
  <c r="H20"/>
  <c r="I20"/>
  <c r="M14"/>
  <c r="I14"/>
  <c r="P13"/>
  <c r="M13"/>
  <c r="K13"/>
  <c r="F13"/>
  <c r="H13"/>
  <c r="I13" s="1"/>
  <c r="P12"/>
  <c r="M12"/>
  <c r="K12"/>
  <c r="M11"/>
  <c r="N8"/>
  <c r="N9" s="1"/>
  <c r="O9" s="1"/>
  <c r="M10"/>
  <c r="K10"/>
  <c r="L9"/>
  <c r="J8"/>
  <c r="F23" i="67"/>
  <c r="P29" i="69" s="1"/>
  <c r="C24" i="67"/>
  <c r="F24" s="1"/>
  <c r="F13"/>
  <c r="F11"/>
  <c r="F12"/>
  <c r="F10" s="1"/>
  <c r="L14" s="1"/>
  <c r="F14"/>
  <c r="P47" i="69"/>
  <c r="N12"/>
  <c r="N22"/>
  <c r="N13"/>
  <c r="N23"/>
  <c r="J10"/>
  <c r="J11"/>
  <c r="N11"/>
  <c r="P11"/>
  <c r="J9"/>
  <c r="J21"/>
  <c r="J28"/>
  <c r="J33"/>
  <c r="I47"/>
  <c r="P34"/>
  <c r="L34"/>
  <c r="I34"/>
  <c r="P33"/>
  <c r="I33"/>
  <c r="N30"/>
  <c r="J29"/>
  <c r="M30"/>
  <c r="K30"/>
  <c r="H30"/>
  <c r="K29"/>
  <c r="F29"/>
  <c r="L28"/>
  <c r="J24"/>
  <c r="M26"/>
  <c r="M25"/>
  <c r="J23"/>
  <c r="K24"/>
  <c r="F24"/>
  <c r="H24" s="1"/>
  <c r="I24" s="1"/>
  <c r="P23"/>
  <c r="J22"/>
  <c r="M23"/>
  <c r="F23"/>
  <c r="H23" s="1"/>
  <c r="P22"/>
  <c r="M22"/>
  <c r="K22"/>
  <c r="F22"/>
  <c r="L21"/>
  <c r="M21"/>
  <c r="H20"/>
  <c r="I20"/>
  <c r="Q14"/>
  <c r="M14"/>
  <c r="I14"/>
  <c r="P13"/>
  <c r="Q13"/>
  <c r="M13"/>
  <c r="K13"/>
  <c r="F13"/>
  <c r="H13" s="1"/>
  <c r="I13" s="1"/>
  <c r="P12"/>
  <c r="Q12"/>
  <c r="M12"/>
  <c r="K12"/>
  <c r="M11"/>
  <c r="K11"/>
  <c r="N8"/>
  <c r="N9" s="1"/>
  <c r="M10"/>
  <c r="K10"/>
  <c r="L9"/>
  <c r="J8"/>
  <c r="M9"/>
  <c r="K9"/>
  <c r="L8"/>
  <c r="M8"/>
  <c r="C31" i="67"/>
  <c r="D31" s="1"/>
  <c r="D36"/>
  <c r="C28"/>
  <c r="D28" s="1"/>
  <c r="C27"/>
  <c r="D27" s="1"/>
  <c r="C23"/>
  <c r="C15"/>
  <c r="C10"/>
  <c r="F27"/>
  <c r="F26" s="1"/>
  <c r="G26" s="1"/>
  <c r="F28"/>
  <c r="I28" s="1"/>
  <c r="C20"/>
  <c r="D20" s="1"/>
  <c r="F19"/>
  <c r="I10"/>
  <c r="F18"/>
  <c r="G31"/>
  <c r="I30"/>
  <c r="I29"/>
  <c r="J25"/>
  <c r="I25"/>
  <c r="I23"/>
  <c r="I22"/>
  <c r="I21"/>
  <c r="F23" i="44"/>
  <c r="E75" i="66"/>
  <c r="E76"/>
  <c r="C24" i="44"/>
  <c r="F24" s="1"/>
  <c r="C23"/>
  <c r="J23" s="1"/>
  <c r="C10"/>
  <c r="C15"/>
  <c r="D15" s="1"/>
  <c r="C27"/>
  <c r="C28"/>
  <c r="D28" s="1"/>
  <c r="C31"/>
  <c r="D36"/>
  <c r="E76" i="60"/>
  <c r="E75"/>
  <c r="C10" i="61"/>
  <c r="C12"/>
  <c r="E13" i="60"/>
  <c r="E15"/>
  <c r="E16"/>
  <c r="E17"/>
  <c r="E19"/>
  <c r="E20"/>
  <c r="E22"/>
  <c r="E23"/>
  <c r="E25"/>
  <c r="E26"/>
  <c r="E27"/>
  <c r="E28"/>
  <c r="E30"/>
  <c r="E31"/>
  <c r="E32"/>
  <c r="E33"/>
  <c r="E35"/>
  <c r="E36"/>
  <c r="E37"/>
  <c r="E38"/>
  <c r="E40"/>
  <c r="E41"/>
  <c r="E42"/>
  <c r="E44"/>
  <c r="E45"/>
  <c r="E46"/>
  <c r="E49"/>
  <c r="E50"/>
  <c r="E51"/>
  <c r="E52"/>
  <c r="E53"/>
  <c r="E54"/>
  <c r="E55"/>
  <c r="E56"/>
  <c r="E57"/>
  <c r="E58"/>
  <c r="E59"/>
  <c r="E60"/>
  <c r="E61"/>
  <c r="E63"/>
  <c r="E68"/>
  <c r="E70"/>
  <c r="E71"/>
  <c r="E72"/>
  <c r="E73"/>
  <c r="E78"/>
  <c r="E80"/>
  <c r="E82"/>
  <c r="E84"/>
  <c r="E85"/>
  <c r="E86"/>
  <c r="E87"/>
  <c r="E88"/>
  <c r="E90"/>
  <c r="E91"/>
  <c r="E92"/>
  <c r="E94"/>
  <c r="E95"/>
  <c r="E67"/>
  <c r="E66"/>
  <c r="E65"/>
  <c r="E64"/>
  <c r="F10" i="2"/>
  <c r="C10"/>
  <c r="F12"/>
  <c r="F13"/>
  <c r="F15" s="1"/>
  <c r="C15" s="1"/>
  <c r="C13" i="10"/>
  <c r="D88"/>
  <c r="D87"/>
  <c r="D86"/>
  <c r="D85"/>
  <c r="D84"/>
  <c r="D22" i="2"/>
  <c r="D21"/>
  <c r="D19"/>
  <c r="D18"/>
  <c r="D16"/>
  <c r="D15"/>
  <c r="D23"/>
  <c r="D13"/>
  <c r="D12"/>
  <c r="C12"/>
  <c r="D10"/>
  <c r="E94" i="10"/>
  <c r="D17"/>
  <c r="D96"/>
  <c r="G31" i="44"/>
  <c r="G27"/>
  <c r="D27"/>
  <c r="I29"/>
  <c r="I30"/>
  <c r="I21"/>
  <c r="I22"/>
  <c r="I25"/>
  <c r="I27"/>
  <c r="I10"/>
  <c r="K26"/>
  <c r="J26"/>
  <c r="J25"/>
  <c r="K25"/>
  <c r="G36"/>
  <c r="B15" i="10"/>
  <c r="B16"/>
  <c r="B17"/>
  <c r="B18"/>
  <c r="C16"/>
  <c r="D82"/>
  <c r="D80"/>
  <c r="D72"/>
  <c r="E72"/>
  <c r="D71"/>
  <c r="D66"/>
  <c r="D63"/>
  <c r="D60"/>
  <c r="D57"/>
  <c r="D54"/>
  <c r="D49"/>
  <c r="D47"/>
  <c r="E47"/>
  <c r="D46"/>
  <c r="D41"/>
  <c r="E41"/>
  <c r="D40"/>
  <c r="D38"/>
  <c r="D37"/>
  <c r="D33"/>
  <c r="D31"/>
  <c r="E31"/>
  <c r="D28"/>
  <c r="D27"/>
  <c r="D20"/>
  <c r="E20"/>
  <c r="D16"/>
  <c r="E13"/>
  <c r="E15"/>
  <c r="E16"/>
  <c r="E18"/>
  <c r="E19"/>
  <c r="E22"/>
  <c r="E23"/>
  <c r="E25"/>
  <c r="E26"/>
  <c r="E27"/>
  <c r="E30"/>
  <c r="E32"/>
  <c r="E33"/>
  <c r="E34"/>
  <c r="E35"/>
  <c r="E36"/>
  <c r="E40"/>
  <c r="E42"/>
  <c r="E44"/>
  <c r="E45"/>
  <c r="E46"/>
  <c r="E49"/>
  <c r="E50"/>
  <c r="E51"/>
  <c r="E52"/>
  <c r="E53"/>
  <c r="E54"/>
  <c r="E55"/>
  <c r="E56"/>
  <c r="E57"/>
  <c r="E58"/>
  <c r="E59"/>
  <c r="E61"/>
  <c r="E63"/>
  <c r="E68"/>
  <c r="E78"/>
  <c r="E80"/>
  <c r="E82"/>
  <c r="E85"/>
  <c r="E88"/>
  <c r="E90"/>
  <c r="E91"/>
  <c r="E92"/>
  <c r="E95"/>
  <c r="E70"/>
  <c r="E71"/>
  <c r="E73"/>
  <c r="E64"/>
  <c r="E65"/>
  <c r="E67"/>
  <c r="C103" i="9"/>
  <c r="C105"/>
  <c r="C107"/>
  <c r="C108"/>
  <c r="D109"/>
  <c r="D110"/>
  <c r="C96"/>
  <c r="C97"/>
  <c r="C94"/>
  <c r="C95"/>
  <c r="C82"/>
  <c r="C83"/>
  <c r="C70"/>
  <c r="C71"/>
  <c r="C72"/>
  <c r="C73"/>
  <c r="C65"/>
  <c r="C66"/>
  <c r="C67"/>
  <c r="C61"/>
  <c r="C62"/>
  <c r="C63"/>
  <c r="C64"/>
  <c r="C59"/>
  <c r="C60"/>
  <c r="C56"/>
  <c r="C57"/>
  <c r="C58"/>
  <c r="C40"/>
  <c r="C39"/>
  <c r="C37"/>
  <c r="C38"/>
  <c r="C33"/>
  <c r="C34"/>
  <c r="C35"/>
  <c r="C36"/>
  <c r="C104"/>
  <c r="C106"/>
  <c r="C93"/>
  <c r="C81"/>
  <c r="C77"/>
  <c r="C69"/>
  <c r="C55"/>
  <c r="C49"/>
  <c r="C45"/>
  <c r="C32"/>
  <c r="C16"/>
  <c r="C17"/>
  <c r="C18"/>
  <c r="C19"/>
  <c r="C15"/>
  <c r="C13"/>
  <c r="C42" i="7"/>
  <c r="C40"/>
  <c r="C41"/>
  <c r="C45"/>
  <c r="C46"/>
  <c r="C47"/>
  <c r="C27"/>
  <c r="C25"/>
  <c r="C26"/>
  <c r="C22"/>
  <c r="C24"/>
  <c r="C34"/>
  <c r="C35"/>
  <c r="C36"/>
  <c r="C37"/>
  <c r="C30"/>
  <c r="C31"/>
  <c r="C32"/>
  <c r="C33"/>
  <c r="C61"/>
  <c r="C62"/>
  <c r="C63"/>
  <c r="C52"/>
  <c r="C53"/>
  <c r="C54"/>
  <c r="C55"/>
  <c r="C56"/>
  <c r="C57"/>
  <c r="C58"/>
  <c r="C59"/>
  <c r="C60"/>
  <c r="C66"/>
  <c r="C67"/>
  <c r="C68"/>
  <c r="C69"/>
  <c r="C70"/>
  <c r="C73"/>
  <c r="C74"/>
  <c r="C75"/>
  <c r="C78"/>
  <c r="C79"/>
  <c r="C86"/>
  <c r="C87"/>
  <c r="C88"/>
  <c r="C89"/>
  <c r="C96"/>
  <c r="C97"/>
  <c r="C95"/>
  <c r="C85"/>
  <c r="C77"/>
  <c r="C72"/>
  <c r="C65"/>
  <c r="C51"/>
  <c r="C49"/>
  <c r="C44"/>
  <c r="C39"/>
  <c r="C29"/>
  <c r="C21"/>
  <c r="C17"/>
  <c r="C18"/>
  <c r="C19"/>
  <c r="C16"/>
  <c r="C15"/>
  <c r="C14"/>
  <c r="C12"/>
  <c r="C98"/>
  <c r="D98"/>
  <c r="D99"/>
  <c r="C23" i="8"/>
  <c r="D23"/>
  <c r="C22"/>
  <c r="C19"/>
  <c r="C17"/>
  <c r="C15"/>
  <c r="C14"/>
  <c r="C12"/>
  <c r="D25" i="6"/>
  <c r="C24"/>
  <c r="C23"/>
  <c r="C21"/>
  <c r="C20"/>
  <c r="C19"/>
  <c r="C18"/>
  <c r="C16"/>
  <c r="C14"/>
  <c r="C13"/>
  <c r="C11"/>
  <c r="D93" i="5"/>
  <c r="D25" i="4"/>
  <c r="C44" i="5"/>
  <c r="C41"/>
  <c r="C42"/>
  <c r="C43"/>
  <c r="C47"/>
  <c r="C48"/>
  <c r="C49"/>
  <c r="C54"/>
  <c r="C55"/>
  <c r="C56"/>
  <c r="C57"/>
  <c r="C58"/>
  <c r="C59"/>
  <c r="C60"/>
  <c r="C61"/>
  <c r="C62"/>
  <c r="C65"/>
  <c r="C66"/>
  <c r="C67"/>
  <c r="C68"/>
  <c r="C71"/>
  <c r="C72"/>
  <c r="C79"/>
  <c r="C78"/>
  <c r="C82"/>
  <c r="C83"/>
  <c r="C84"/>
  <c r="C85"/>
  <c r="C15"/>
  <c r="C93"/>
  <c r="C16"/>
  <c r="C17"/>
  <c r="C18"/>
  <c r="C21"/>
  <c r="C24"/>
  <c r="C26"/>
  <c r="C27"/>
  <c r="C28"/>
  <c r="C29"/>
  <c r="C31"/>
  <c r="C32"/>
  <c r="C33"/>
  <c r="C34"/>
  <c r="C35"/>
  <c r="C37"/>
  <c r="C38"/>
  <c r="C46"/>
  <c r="C51"/>
  <c r="C53"/>
  <c r="C70"/>
  <c r="C81"/>
  <c r="C87"/>
  <c r="C88"/>
  <c r="C89"/>
  <c r="C91"/>
  <c r="C92"/>
  <c r="C11" i="4"/>
  <c r="C13"/>
  <c r="C14"/>
  <c r="C16"/>
  <c r="C18"/>
  <c r="C19"/>
  <c r="C20"/>
  <c r="C21"/>
  <c r="C23"/>
  <c r="C24"/>
  <c r="C74" i="5"/>
  <c r="C64"/>
  <c r="C40"/>
  <c r="C36"/>
  <c r="C23"/>
  <c r="C20"/>
  <c r="C13"/>
  <c r="D96" i="3"/>
  <c r="D97"/>
  <c r="C91"/>
  <c r="C92"/>
  <c r="C85"/>
  <c r="C86"/>
  <c r="C87"/>
  <c r="C88"/>
  <c r="C95"/>
  <c r="C90"/>
  <c r="C84"/>
  <c r="C82"/>
  <c r="C80"/>
  <c r="C71"/>
  <c r="C72"/>
  <c r="C73"/>
  <c r="C64"/>
  <c r="C65"/>
  <c r="C66"/>
  <c r="C67"/>
  <c r="C68"/>
  <c r="C70"/>
  <c r="C63"/>
  <c r="C57"/>
  <c r="C58"/>
  <c r="C59"/>
  <c r="C60"/>
  <c r="C61"/>
  <c r="C50"/>
  <c r="C51"/>
  <c r="C52"/>
  <c r="C53"/>
  <c r="C54"/>
  <c r="C55"/>
  <c r="C56"/>
  <c r="C41"/>
  <c r="C42"/>
  <c r="C45"/>
  <c r="C46"/>
  <c r="C47"/>
  <c r="C49"/>
  <c r="C44"/>
  <c r="C40"/>
  <c r="C37"/>
  <c r="C38"/>
  <c r="C34"/>
  <c r="C35"/>
  <c r="C36"/>
  <c r="C31"/>
  <c r="C32"/>
  <c r="C33"/>
  <c r="C30"/>
  <c r="C28"/>
  <c r="C27"/>
  <c r="C26"/>
  <c r="C23"/>
  <c r="C25"/>
  <c r="C22"/>
  <c r="C20"/>
  <c r="C18"/>
  <c r="C19"/>
  <c r="C16"/>
  <c r="C17"/>
  <c r="C15"/>
  <c r="C13"/>
  <c r="C96"/>
  <c r="X34" i="71"/>
  <c r="Y34" s="1"/>
  <c r="M33" i="69"/>
  <c r="J34"/>
  <c r="J47"/>
  <c r="M47"/>
  <c r="C99" i="7"/>
  <c r="D97" i="10"/>
  <c r="C94" i="5"/>
  <c r="G20" i="65"/>
  <c r="I17"/>
  <c r="D17"/>
  <c r="C17"/>
  <c r="K9" i="71"/>
  <c r="L8"/>
  <c r="E20" i="72"/>
  <c r="I20" s="1"/>
  <c r="C21"/>
  <c r="E21"/>
  <c r="I21" s="1"/>
  <c r="V22" i="71"/>
  <c r="X12"/>
  <c r="F17" i="78"/>
  <c r="F20"/>
  <c r="F21"/>
  <c r="C16"/>
  <c r="E87" i="10"/>
  <c r="C15" i="61"/>
  <c r="D25"/>
  <c r="D97" i="60" s="1"/>
  <c r="N8" i="49"/>
  <c r="C17"/>
  <c r="C31"/>
  <c r="C35"/>
  <c r="C27"/>
  <c r="B16" i="81"/>
  <c r="B17" s="1"/>
  <c r="B18" s="1"/>
  <c r="B19" s="1"/>
  <c r="B20" s="1"/>
  <c r="F30" i="71"/>
  <c r="I30"/>
  <c r="J28"/>
  <c r="J29"/>
  <c r="E84" i="66"/>
  <c r="E38"/>
  <c r="E75" i="81"/>
  <c r="B16" i="79"/>
  <c r="C15"/>
  <c r="E28" i="10"/>
  <c r="E84"/>
  <c r="M24" i="69"/>
  <c r="K23"/>
  <c r="E13" i="66"/>
  <c r="E97"/>
  <c r="D97"/>
  <c r="R22" i="71"/>
  <c r="P9" i="69"/>
  <c r="M9" i="71"/>
  <c r="N22"/>
  <c r="F15" i="61"/>
  <c r="E60" i="10"/>
  <c r="N24" i="69"/>
  <c r="P24"/>
  <c r="R21"/>
  <c r="Q13" i="71"/>
  <c r="T8"/>
  <c r="U8" s="1"/>
  <c r="E41" i="66"/>
  <c r="C13" i="81"/>
  <c r="D94" i="5"/>
  <c r="C109" i="9"/>
  <c r="C110"/>
  <c r="E17" i="10"/>
  <c r="E96"/>
  <c r="C13" i="2"/>
  <c r="K8" i="69"/>
  <c r="K21"/>
  <c r="M21" i="71"/>
  <c r="C16" i="80"/>
  <c r="E50" i="81"/>
  <c r="G19" i="65"/>
  <c r="I19"/>
  <c r="D19"/>
  <c r="C19"/>
  <c r="C14" i="79"/>
  <c r="E11" i="49"/>
  <c r="D17"/>
  <c r="D31"/>
  <c r="C11"/>
  <c r="F11" s="1"/>
  <c r="D15"/>
  <c r="K9" i="82"/>
  <c r="D19" i="49"/>
  <c r="F19" s="1"/>
  <c r="Y14" i="71"/>
  <c r="V23"/>
  <c r="X23"/>
  <c r="D31" i="44"/>
  <c r="I31"/>
  <c r="T13" i="71"/>
  <c r="U13"/>
  <c r="R23"/>
  <c r="T23"/>
  <c r="G36" i="67"/>
  <c r="G27"/>
  <c r="E10" i="73"/>
  <c r="G10" s="1"/>
  <c r="G29" s="1"/>
  <c r="E12"/>
  <c r="G12" s="1"/>
  <c r="H12" s="1"/>
  <c r="E14"/>
  <c r="G14" s="1"/>
  <c r="H14" s="1"/>
  <c r="E16"/>
  <c r="G16" s="1"/>
  <c r="H16" s="1"/>
  <c r="E18"/>
  <c r="G18" s="1"/>
  <c r="H18" s="1"/>
  <c r="E20"/>
  <c r="G20" s="1"/>
  <c r="H20" s="1"/>
  <c r="E22"/>
  <c r="G22" s="1"/>
  <c r="H22" s="1"/>
  <c r="E24"/>
  <c r="G24" s="1"/>
  <c r="H24" s="1"/>
  <c r="E26"/>
  <c r="G26"/>
  <c r="H26" s="1"/>
  <c r="E28"/>
  <c r="G28" s="1"/>
  <c r="H28" s="1"/>
  <c r="E11"/>
  <c r="G11" s="1"/>
  <c r="H11" s="1"/>
  <c r="E13"/>
  <c r="G13" s="1"/>
  <c r="H13" s="1"/>
  <c r="E15"/>
  <c r="G15" s="1"/>
  <c r="H15" s="1"/>
  <c r="E17"/>
  <c r="G17" s="1"/>
  <c r="H17" s="1"/>
  <c r="E19"/>
  <c r="E21"/>
  <c r="E23"/>
  <c r="E25"/>
  <c r="G25" s="1"/>
  <c r="H25" s="1"/>
  <c r="E27"/>
  <c r="E49" i="81"/>
  <c r="Q12" i="71"/>
  <c r="C17" i="78"/>
  <c r="D13" i="49"/>
  <c r="F13" s="1"/>
  <c r="G21" i="73"/>
  <c r="H21" s="1"/>
  <c r="U9" i="71"/>
  <c r="C15" i="49"/>
  <c r="F15" s="1"/>
  <c r="C25" i="6"/>
  <c r="E86" i="10"/>
  <c r="D24" i="67"/>
  <c r="K21" i="71"/>
  <c r="G19" i="73"/>
  <c r="H19" s="1"/>
  <c r="C9" i="83"/>
  <c r="F9" s="1"/>
  <c r="D10" i="67"/>
  <c r="L11"/>
  <c r="C11" s="1"/>
  <c r="G33" i="72"/>
  <c r="G37" s="1"/>
  <c r="C9" i="49"/>
  <c r="F9"/>
  <c r="H9" i="82"/>
  <c r="C10" s="1"/>
  <c r="H8" i="49"/>
  <c r="C39"/>
  <c r="F39" s="1"/>
  <c r="F28" i="69"/>
  <c r="H29"/>
  <c r="E66" i="10"/>
  <c r="B19"/>
  <c r="C18"/>
  <c r="F15" i="67"/>
  <c r="J23"/>
  <c r="D23"/>
  <c r="N11" i="71"/>
  <c r="J24"/>
  <c r="K11"/>
  <c r="I11" i="72"/>
  <c r="C28"/>
  <c r="Y9" i="71"/>
  <c r="E86" i="79"/>
  <c r="K28" i="71"/>
  <c r="C17" i="10"/>
  <c r="M29" i="69"/>
  <c r="F19" i="80"/>
  <c r="C20" i="44"/>
  <c r="D20" s="1"/>
  <c r="L12" i="67"/>
  <c r="C12" s="1"/>
  <c r="I12" s="1"/>
  <c r="N10" i="69"/>
  <c r="P10"/>
  <c r="M28"/>
  <c r="M34"/>
  <c r="M22" i="71"/>
  <c r="J9" i="82"/>
  <c r="I11" i="78"/>
  <c r="F12" i="69"/>
  <c r="H12" s="1"/>
  <c r="I12" s="1"/>
  <c r="F21"/>
  <c r="H22"/>
  <c r="D25" i="80"/>
  <c r="C15"/>
  <c r="I22" i="71"/>
  <c r="E90" i="79"/>
  <c r="E94"/>
  <c r="J26" i="67"/>
  <c r="K25"/>
  <c r="K26"/>
  <c r="D15"/>
  <c r="F30" i="69"/>
  <c r="I30"/>
  <c r="F18" i="44"/>
  <c r="E50" i="66"/>
  <c r="D96" i="60"/>
  <c r="E18"/>
  <c r="E96"/>
  <c r="G27" i="73"/>
  <c r="H27" s="1"/>
  <c r="E38" i="10"/>
  <c r="C25" i="4"/>
  <c r="C15" i="10"/>
  <c r="K28" i="69"/>
  <c r="K22" i="71"/>
  <c r="G35" i="72"/>
  <c r="I19"/>
  <c r="G23" i="73"/>
  <c r="H23" s="1"/>
  <c r="D35" i="49"/>
  <c r="F35" s="1"/>
  <c r="F10" i="83"/>
  <c r="C20"/>
  <c r="E37" i="10"/>
  <c r="E66" i="66"/>
  <c r="E33"/>
  <c r="E27" i="49"/>
  <c r="D94" i="79"/>
  <c r="D40" i="81"/>
  <c r="E40" s="1"/>
  <c r="I22" i="69"/>
  <c r="C23" i="49"/>
  <c r="F23" s="1"/>
  <c r="C21"/>
  <c r="F21" s="1"/>
  <c r="C33"/>
  <c r="F33" s="1"/>
  <c r="C29"/>
  <c r="X22" i="71"/>
  <c r="D16" i="82"/>
  <c r="D28"/>
  <c r="D18"/>
  <c r="C28"/>
  <c r="C36"/>
  <c r="C32"/>
  <c r="C18"/>
  <c r="C38"/>
  <c r="C16"/>
  <c r="F16" s="1"/>
  <c r="H28" i="69"/>
  <c r="I28" s="1"/>
  <c r="I29"/>
  <c r="B13" i="60"/>
  <c r="C13" s="1"/>
  <c r="F16" i="61"/>
  <c r="F23" i="78"/>
  <c r="C21"/>
  <c r="I20" i="65"/>
  <c r="D20"/>
  <c r="G21"/>
  <c r="Q11" i="69"/>
  <c r="F31" i="49"/>
  <c r="E28" i="72"/>
  <c r="C29"/>
  <c r="C16" i="81"/>
  <c r="S8" i="71"/>
  <c r="B17" i="79"/>
  <c r="C16"/>
  <c r="F21" i="80"/>
  <c r="C21" s="1"/>
  <c r="C19"/>
  <c r="Q9" i="69"/>
  <c r="L16" i="67"/>
  <c r="C16"/>
  <c r="I16" s="1"/>
  <c r="P21" i="69"/>
  <c r="O21" s="1"/>
  <c r="G15" i="67"/>
  <c r="L17"/>
  <c r="L19"/>
  <c r="P22" i="71"/>
  <c r="N21"/>
  <c r="N24"/>
  <c r="P24"/>
  <c r="N10"/>
  <c r="P10"/>
  <c r="Q10"/>
  <c r="P11"/>
  <c r="R11"/>
  <c r="H10" i="73"/>
  <c r="H29" s="1"/>
  <c r="T22" i="71"/>
  <c r="J33"/>
  <c r="M29"/>
  <c r="M26"/>
  <c r="K24"/>
  <c r="M25"/>
  <c r="K29"/>
  <c r="M30"/>
  <c r="D27" i="65"/>
  <c r="D98" i="66"/>
  <c r="N21" i="69"/>
  <c r="N28"/>
  <c r="L18" i="67"/>
  <c r="Q10" i="69"/>
  <c r="R9"/>
  <c r="C19" i="10"/>
  <c r="B20"/>
  <c r="M8" i="71"/>
  <c r="K8"/>
  <c r="M28"/>
  <c r="C17" i="81"/>
  <c r="F18" i="61"/>
  <c r="C16"/>
  <c r="V11" i="71"/>
  <c r="R24"/>
  <c r="T11"/>
  <c r="U11"/>
  <c r="R10"/>
  <c r="T10"/>
  <c r="U10"/>
  <c r="U12"/>
  <c r="F24" i="78"/>
  <c r="C23"/>
  <c r="M33" i="71"/>
  <c r="J34"/>
  <c r="N34" i="69"/>
  <c r="Q34"/>
  <c r="N47"/>
  <c r="Q47"/>
  <c r="N33"/>
  <c r="Q33"/>
  <c r="N29"/>
  <c r="Q21"/>
  <c r="F23" i="80"/>
  <c r="C20" i="65"/>
  <c r="D20" i="78"/>
  <c r="C20" i="10"/>
  <c r="B22"/>
  <c r="C17" i="79"/>
  <c r="B18"/>
  <c r="C18" s="1"/>
  <c r="G23" i="65"/>
  <c r="C21"/>
  <c r="Q11" i="71"/>
  <c r="Q21"/>
  <c r="N28"/>
  <c r="O21"/>
  <c r="I28" i="72"/>
  <c r="I31" s="1"/>
  <c r="I32" s="1"/>
  <c r="E31"/>
  <c r="C30"/>
  <c r="I30"/>
  <c r="E29"/>
  <c r="I29" s="1"/>
  <c r="B15" i="60"/>
  <c r="B16" s="1"/>
  <c r="B17" s="1"/>
  <c r="B18" s="1"/>
  <c r="C18" s="1"/>
  <c r="F24" i="80"/>
  <c r="C24" s="1"/>
  <c r="C23"/>
  <c r="E32" i="72"/>
  <c r="E35"/>
  <c r="C18" i="81"/>
  <c r="J20" i="65"/>
  <c r="C18" i="61"/>
  <c r="F19"/>
  <c r="C20" i="78"/>
  <c r="C27" s="1"/>
  <c r="C28" s="1"/>
  <c r="D27"/>
  <c r="D95" i="79"/>
  <c r="C15" i="60"/>
  <c r="N34" i="71"/>
  <c r="Q34"/>
  <c r="Q28"/>
  <c r="N47"/>
  <c r="Q47"/>
  <c r="N33"/>
  <c r="Q33"/>
  <c r="N29"/>
  <c r="B19" i="79"/>
  <c r="C19" s="1"/>
  <c r="F25" i="78"/>
  <c r="C24"/>
  <c r="X11" i="71"/>
  <c r="Y11"/>
  <c r="V10"/>
  <c r="X10"/>
  <c r="Y10"/>
  <c r="V24"/>
  <c r="Y12"/>
  <c r="C23" i="65"/>
  <c r="G24"/>
  <c r="T24" i="71"/>
  <c r="R21"/>
  <c r="C22" i="10"/>
  <c r="B23"/>
  <c r="C23"/>
  <c r="B25"/>
  <c r="J47" i="71"/>
  <c r="M47"/>
  <c r="M34"/>
  <c r="I16" i="78"/>
  <c r="H20" i="10"/>
  <c r="B26"/>
  <c r="C25"/>
  <c r="G25" i="65"/>
  <c r="C24"/>
  <c r="J16"/>
  <c r="C25" i="78"/>
  <c r="F26"/>
  <c r="C26"/>
  <c r="F21" i="61"/>
  <c r="C19"/>
  <c r="R28" i="71"/>
  <c r="U21"/>
  <c r="S21"/>
  <c r="C19" i="81"/>
  <c r="B21" i="79"/>
  <c r="B24" s="1"/>
  <c r="B25" s="1"/>
  <c r="B26" s="1"/>
  <c r="B27" s="1"/>
  <c r="C16" i="60"/>
  <c r="E33" i="72"/>
  <c r="X24" i="71"/>
  <c r="V21"/>
  <c r="I20" i="78"/>
  <c r="I27" s="1"/>
  <c r="C21" i="61"/>
  <c r="F23"/>
  <c r="C26" i="10"/>
  <c r="B27"/>
  <c r="H15" i="61"/>
  <c r="G26" i="65"/>
  <c r="C26"/>
  <c r="J27"/>
  <c r="C25"/>
  <c r="V28" i="71"/>
  <c r="W21"/>
  <c r="Y21"/>
  <c r="B22" i="79"/>
  <c r="C22" s="1"/>
  <c r="C17" i="60"/>
  <c r="R47" i="71"/>
  <c r="U47"/>
  <c r="R34"/>
  <c r="R29"/>
  <c r="R33"/>
  <c r="U33"/>
  <c r="U28"/>
  <c r="H19" i="79"/>
  <c r="C24"/>
  <c r="B19" i="60"/>
  <c r="B20" s="1"/>
  <c r="C27" i="65"/>
  <c r="V33" i="71"/>
  <c r="Y33"/>
  <c r="V29"/>
  <c r="V34"/>
  <c r="V47"/>
  <c r="Y28"/>
  <c r="F27" i="78"/>
  <c r="F24" i="61"/>
  <c r="C25"/>
  <c r="C26" s="1"/>
  <c r="B28" i="10"/>
  <c r="C27"/>
  <c r="C19" i="60"/>
  <c r="C25" i="79"/>
  <c r="B31" i="10"/>
  <c r="B30"/>
  <c r="C30"/>
  <c r="C28"/>
  <c r="H28"/>
  <c r="C28" i="65"/>
  <c r="G27"/>
  <c r="C26" i="79"/>
  <c r="B32" i="10"/>
  <c r="C31"/>
  <c r="C32"/>
  <c r="B33"/>
  <c r="C27" i="79"/>
  <c r="B34" i="10"/>
  <c r="C33"/>
  <c r="B35"/>
  <c r="C34"/>
  <c r="B36"/>
  <c r="C35"/>
  <c r="B37"/>
  <c r="C36"/>
  <c r="B38"/>
  <c r="C37"/>
  <c r="B40"/>
  <c r="C38"/>
  <c r="H38"/>
  <c r="B41"/>
  <c r="C40"/>
  <c r="B42"/>
  <c r="C41"/>
  <c r="H41"/>
  <c r="B44"/>
  <c r="C42"/>
  <c r="B45"/>
  <c r="C44"/>
  <c r="B46"/>
  <c r="C45"/>
  <c r="B47"/>
  <c r="C46"/>
  <c r="C47"/>
  <c r="H47"/>
  <c r="B49"/>
  <c r="B50"/>
  <c r="C49"/>
  <c r="C50"/>
  <c r="B51"/>
  <c r="B52"/>
  <c r="C51"/>
  <c r="C52"/>
  <c r="B53"/>
  <c r="B54"/>
  <c r="C53"/>
  <c r="B55"/>
  <c r="C54"/>
  <c r="B56"/>
  <c r="C55"/>
  <c r="C56"/>
  <c r="B57"/>
  <c r="C57"/>
  <c r="B58"/>
  <c r="C58"/>
  <c r="B59"/>
  <c r="C59"/>
  <c r="B60"/>
  <c r="B61"/>
  <c r="C60"/>
  <c r="C61"/>
  <c r="H61"/>
  <c r="B63"/>
  <c r="C63"/>
  <c r="B64"/>
  <c r="B65"/>
  <c r="C64"/>
  <c r="C65"/>
  <c r="B66"/>
  <c r="B67"/>
  <c r="C66"/>
  <c r="B68"/>
  <c r="C67"/>
  <c r="H67"/>
  <c r="B70"/>
  <c r="C68"/>
  <c r="C70"/>
  <c r="B71"/>
  <c r="B72"/>
  <c r="C71"/>
  <c r="B73"/>
  <c r="C72"/>
  <c r="H72"/>
  <c r="B78"/>
  <c r="C73"/>
  <c r="C78"/>
  <c r="B80"/>
  <c r="H80"/>
  <c r="B82"/>
  <c r="C80"/>
  <c r="B84"/>
  <c r="C82"/>
  <c r="H82"/>
  <c r="B85"/>
  <c r="C84"/>
  <c r="C85"/>
  <c r="B86"/>
  <c r="B87"/>
  <c r="C86"/>
  <c r="B88"/>
  <c r="C87"/>
  <c r="B90"/>
  <c r="C88"/>
  <c r="B91"/>
  <c r="C90"/>
  <c r="H88"/>
  <c r="C91"/>
  <c r="B92"/>
  <c r="C92"/>
  <c r="H92"/>
  <c r="B95"/>
  <c r="C95"/>
  <c r="B94"/>
  <c r="C94"/>
  <c r="C96"/>
  <c r="H96"/>
  <c r="I15" i="80" l="1"/>
  <c r="F25" i="61"/>
  <c r="C13" i="66"/>
  <c r="C25" i="80"/>
  <c r="C15" i="66"/>
  <c r="B16"/>
  <c r="C16" s="1"/>
  <c r="I24" i="44"/>
  <c r="F20"/>
  <c r="I24" i="67"/>
  <c r="G24"/>
  <c r="P30" i="69"/>
  <c r="C26" i="44"/>
  <c r="D26" s="1"/>
  <c r="G28" i="67"/>
  <c r="I31"/>
  <c r="C14"/>
  <c r="I14" s="1"/>
  <c r="C30" i="82"/>
  <c r="C40"/>
  <c r="I23" i="69"/>
  <c r="H21"/>
  <c r="I21" s="1"/>
  <c r="H21" i="71"/>
  <c r="I21" s="1"/>
  <c r="I24"/>
  <c r="I29"/>
  <c r="H28"/>
  <c r="E20" i="83"/>
  <c r="F21"/>
  <c r="F20"/>
  <c r="F26" s="1"/>
  <c r="F11" i="69"/>
  <c r="F11" i="71"/>
  <c r="F12"/>
  <c r="H12" s="1"/>
  <c r="I12" s="1"/>
  <c r="F28"/>
  <c r="L9" i="82"/>
  <c r="E37" i="49"/>
  <c r="F37" s="1"/>
  <c r="E17"/>
  <c r="F17" s="1"/>
  <c r="F40" s="1"/>
  <c r="B29" i="79"/>
  <c r="C29" s="1"/>
  <c r="B30"/>
  <c r="D10" i="44"/>
  <c r="C17" i="67"/>
  <c r="I17" s="1"/>
  <c r="I15"/>
  <c r="C19"/>
  <c r="I19" s="1"/>
  <c r="C18"/>
  <c r="I18" s="1"/>
  <c r="C26"/>
  <c r="I27"/>
  <c r="P28" i="69"/>
  <c r="G23" i="67"/>
  <c r="F20"/>
  <c r="G28" i="44"/>
  <c r="F26"/>
  <c r="I28"/>
  <c r="P8" i="71"/>
  <c r="Q9"/>
  <c r="F32" i="72"/>
  <c r="F35"/>
  <c r="H25"/>
  <c r="H26" s="1"/>
  <c r="H35"/>
  <c r="F19" i="44"/>
  <c r="D96" i="81"/>
  <c r="D97" s="1"/>
  <c r="E12" i="82"/>
  <c r="C26"/>
  <c r="E36"/>
  <c r="E32"/>
  <c r="F16" i="2"/>
  <c r="I23" i="44"/>
  <c r="D35" i="72"/>
  <c r="I8"/>
  <c r="I24" s="1"/>
  <c r="C20" i="60"/>
  <c r="H20" s="1"/>
  <c r="B22"/>
  <c r="I33" i="72"/>
  <c r="D20" i="82"/>
  <c r="D32"/>
  <c r="D14"/>
  <c r="F14" s="1"/>
  <c r="D36"/>
  <c r="F36" s="1"/>
  <c r="C12"/>
  <c r="F12" s="1"/>
  <c r="P8" i="69"/>
  <c r="O9"/>
  <c r="C20" i="81"/>
  <c r="I20" s="1"/>
  <c r="B22"/>
  <c r="G10" i="67"/>
  <c r="F32"/>
  <c r="I28" i="71"/>
  <c r="E26" i="72"/>
  <c r="E36"/>
  <c r="H36"/>
  <c r="H33"/>
  <c r="H37" s="1"/>
  <c r="X8" i="71"/>
  <c r="W28"/>
  <c r="C21" i="79"/>
  <c r="E37" i="72"/>
  <c r="B17" i="66"/>
  <c r="I26" i="67"/>
  <c r="L13"/>
  <c r="C13" s="1"/>
  <c r="I13" s="1"/>
  <c r="R28" i="69"/>
  <c r="G36" i="72"/>
  <c r="F10" i="44"/>
  <c r="E38" i="82"/>
  <c r="F38" s="1"/>
  <c r="F25" i="80" l="1"/>
  <c r="C26"/>
  <c r="C32" i="44"/>
  <c r="D32" s="1"/>
  <c r="I20"/>
  <c r="G20"/>
  <c r="E28" i="82"/>
  <c r="F28" s="1"/>
  <c r="M9"/>
  <c r="E18"/>
  <c r="F18" s="1"/>
  <c r="F10" i="69"/>
  <c r="H10" s="1"/>
  <c r="F9"/>
  <c r="H11"/>
  <c r="I11" s="1"/>
  <c r="F32" i="82"/>
  <c r="H11" i="71"/>
  <c r="I11" s="1"/>
  <c r="F10"/>
  <c r="H10" s="1"/>
  <c r="F9"/>
  <c r="G32" i="67"/>
  <c r="B25" i="81"/>
  <c r="C22"/>
  <c r="B23"/>
  <c r="C23" s="1"/>
  <c r="F18" i="2"/>
  <c r="C16"/>
  <c r="F33" i="72"/>
  <c r="F37" s="1"/>
  <c r="F36"/>
  <c r="O8" i="71"/>
  <c r="Q8"/>
  <c r="I26" i="44"/>
  <c r="G26"/>
  <c r="G20" i="67"/>
  <c r="H20" s="1"/>
  <c r="I20"/>
  <c r="O28" i="69"/>
  <c r="Q28"/>
  <c r="D26" i="67"/>
  <c r="C32"/>
  <c r="D32" s="1"/>
  <c r="F41" i="82"/>
  <c r="E10" i="44"/>
  <c r="B18" i="66"/>
  <c r="C17"/>
  <c r="G10" i="44"/>
  <c r="L11"/>
  <c r="C11" s="1"/>
  <c r="L13"/>
  <c r="C13" s="1"/>
  <c r="I13" s="1"/>
  <c r="L12"/>
  <c r="C12" s="1"/>
  <c r="I12" s="1"/>
  <c r="H27" i="79"/>
  <c r="Y8" i="71"/>
  <c r="W8"/>
  <c r="G48" i="67"/>
  <c r="H10"/>
  <c r="Q8" i="69"/>
  <c r="O8"/>
  <c r="B25" i="60"/>
  <c r="B23"/>
  <c r="C23" s="1"/>
  <c r="C22"/>
  <c r="I25" i="72"/>
  <c r="I35"/>
  <c r="D34" i="44"/>
  <c r="E15"/>
  <c r="C30" i="79"/>
  <c r="B31"/>
  <c r="L14" i="44"/>
  <c r="C14" s="1"/>
  <c r="I14" s="1"/>
  <c r="F15"/>
  <c r="H23" i="67"/>
  <c r="E26" i="44" l="1"/>
  <c r="E31"/>
  <c r="E20"/>
  <c r="H9" i="71"/>
  <c r="I10"/>
  <c r="I10" i="69"/>
  <c r="H9"/>
  <c r="C24" i="82"/>
  <c r="C22"/>
  <c r="C34"/>
  <c r="G15" i="44"/>
  <c r="L16"/>
  <c r="C16" s="1"/>
  <c r="I16" s="1"/>
  <c r="L18"/>
  <c r="C18" s="1"/>
  <c r="I18" s="1"/>
  <c r="L17"/>
  <c r="C17" s="1"/>
  <c r="I17" s="1"/>
  <c r="I15"/>
  <c r="I26" i="72"/>
  <c r="I37" s="1"/>
  <c r="I36"/>
  <c r="B19" i="66"/>
  <c r="C18"/>
  <c r="E23" i="67"/>
  <c r="E24"/>
  <c r="E15"/>
  <c r="E10"/>
  <c r="D34"/>
  <c r="E20"/>
  <c r="E31"/>
  <c r="B26" i="81"/>
  <c r="C25"/>
  <c r="H15" i="67"/>
  <c r="G34"/>
  <c r="H26"/>
  <c r="H24"/>
  <c r="F32" i="44"/>
  <c r="L19"/>
  <c r="C19" s="1"/>
  <c r="I19" s="1"/>
  <c r="B32" i="79"/>
  <c r="C31"/>
  <c r="C25" i="60"/>
  <c r="B26"/>
  <c r="E26" i="67"/>
  <c r="D48"/>
  <c r="C18" i="2"/>
  <c r="F19"/>
  <c r="I32" i="67"/>
  <c r="G9" i="71" l="1"/>
  <c r="I9"/>
  <c r="H8"/>
  <c r="H8" i="69"/>
  <c r="G9"/>
  <c r="I9"/>
  <c r="C26" i="60"/>
  <c r="B27"/>
  <c r="C32" i="79"/>
  <c r="B33"/>
  <c r="G32" i="44"/>
  <c r="I32"/>
  <c r="B27" i="81"/>
  <c r="C26"/>
  <c r="H15" i="44"/>
  <c r="C19" i="2"/>
  <c r="F21"/>
  <c r="B20" i="66"/>
  <c r="C19"/>
  <c r="I8" i="71" l="1"/>
  <c r="G8"/>
  <c r="G8" i="69"/>
  <c r="I8"/>
  <c r="B22" i="66"/>
  <c r="C20"/>
  <c r="I20" s="1"/>
  <c r="C33" i="79"/>
  <c r="B34"/>
  <c r="C27" i="60"/>
  <c r="B28"/>
  <c r="F22" i="2"/>
  <c r="C22" s="1"/>
  <c r="C21"/>
  <c r="C23" s="1"/>
  <c r="B28" i="81"/>
  <c r="C27"/>
  <c r="G34" i="44"/>
  <c r="H20"/>
  <c r="H10"/>
  <c r="H26"/>
  <c r="C28" i="81" l="1"/>
  <c r="I28" s="1"/>
  <c r="B30"/>
  <c r="C30" s="1"/>
  <c r="B31"/>
  <c r="B25" i="66"/>
  <c r="B23"/>
  <c r="C23" s="1"/>
  <c r="C22"/>
  <c r="F23" i="2"/>
  <c r="C97" i="3"/>
  <c r="C24" i="2"/>
  <c r="C97" i="10"/>
  <c r="C98" s="1"/>
  <c r="C28" i="60"/>
  <c r="H28" s="1"/>
  <c r="B30"/>
  <c r="C30" s="1"/>
  <c r="B31"/>
  <c r="C34" i="79"/>
  <c r="B35"/>
  <c r="C31" i="81" l="1"/>
  <c r="B32"/>
  <c r="B36" i="79"/>
  <c r="C35"/>
  <c r="C31" i="60"/>
  <c r="B32"/>
  <c r="B26" i="66"/>
  <c r="C25"/>
  <c r="C26" l="1"/>
  <c r="B27"/>
  <c r="B37" i="79"/>
  <c r="C36"/>
  <c r="C32" i="60"/>
  <c r="B33"/>
  <c r="C32" i="81"/>
  <c r="B33"/>
  <c r="B34" l="1"/>
  <c r="C33"/>
  <c r="C33" i="60"/>
  <c r="B34"/>
  <c r="C37" i="79"/>
  <c r="H37" s="1"/>
  <c r="B39"/>
  <c r="B28" i="66"/>
  <c r="C27"/>
  <c r="C39" i="79" l="1"/>
  <c r="B40"/>
  <c r="B35" i="60"/>
  <c r="C34"/>
  <c r="C28" i="66"/>
  <c r="B31"/>
  <c r="B30"/>
  <c r="C30" s="1"/>
  <c r="B35" i="81"/>
  <c r="C34"/>
  <c r="I28" i="66"/>
  <c r="C35" i="81" l="1"/>
  <c r="B36"/>
  <c r="B32" i="66"/>
  <c r="C31"/>
  <c r="B41" i="79"/>
  <c r="C40"/>
  <c r="B36" i="60"/>
  <c r="C35"/>
  <c r="H40" i="79"/>
  <c r="C36" i="81" l="1"/>
  <c r="B37"/>
  <c r="C36" i="60"/>
  <c r="B37"/>
  <c r="B43" i="79"/>
  <c r="C41"/>
  <c r="C32" i="66"/>
  <c r="B33"/>
  <c r="B38" i="81" l="1"/>
  <c r="C37"/>
  <c r="C33" i="66"/>
  <c r="B34"/>
  <c r="C37" i="60"/>
  <c r="B38"/>
  <c r="C43" i="79"/>
  <c r="B44"/>
  <c r="C44" l="1"/>
  <c r="B45"/>
  <c r="C38" i="60"/>
  <c r="H38" s="1"/>
  <c r="B40"/>
  <c r="C34" i="66"/>
  <c r="B35"/>
  <c r="C38" i="81"/>
  <c r="I38" s="1"/>
  <c r="B40"/>
  <c r="C40" l="1"/>
  <c r="B41"/>
  <c r="C35" i="66"/>
  <c r="B36"/>
  <c r="B41" i="60"/>
  <c r="C40"/>
  <c r="C45" i="79"/>
  <c r="B46"/>
  <c r="B42" i="60" l="1"/>
  <c r="C41"/>
  <c r="H46" i="79"/>
  <c r="C46"/>
  <c r="B48"/>
  <c r="H41" i="60"/>
  <c r="B37" i="66"/>
  <c r="C36"/>
  <c r="C41" i="81"/>
  <c r="I41" s="1"/>
  <c r="B42"/>
  <c r="B38" i="66" l="1"/>
  <c r="C37"/>
  <c r="B49" i="79"/>
  <c r="C48"/>
  <c r="B44" i="81"/>
  <c r="C42"/>
  <c r="C42" i="60"/>
  <c r="B44"/>
  <c r="B45" l="1"/>
  <c r="C44"/>
  <c r="C44" i="81"/>
  <c r="B45"/>
  <c r="B50" i="79"/>
  <c r="C49"/>
  <c r="B40" i="66"/>
  <c r="C38"/>
  <c r="I38" s="1"/>
  <c r="C40" l="1"/>
  <c r="B41"/>
  <c r="B51" i="79"/>
  <c r="C50"/>
  <c r="B46" i="60"/>
  <c r="C45"/>
  <c r="C45" i="81"/>
  <c r="B46"/>
  <c r="C41" i="66" l="1"/>
  <c r="B42"/>
  <c r="B47" i="81"/>
  <c r="C46"/>
  <c r="B47" i="60"/>
  <c r="C46"/>
  <c r="B52" i="79"/>
  <c r="C51"/>
  <c r="I41" i="66"/>
  <c r="C52" i="79" l="1"/>
  <c r="B53"/>
  <c r="C47" i="60"/>
  <c r="B49"/>
  <c r="B49" i="81"/>
  <c r="C47"/>
  <c r="H47" i="60"/>
  <c r="C42" i="66"/>
  <c r="B44"/>
  <c r="C44" l="1"/>
  <c r="B45"/>
  <c r="B50" i="60"/>
  <c r="C49"/>
  <c r="C53" i="79"/>
  <c r="B54"/>
  <c r="I47" i="81"/>
  <c r="B50"/>
  <c r="C49"/>
  <c r="C50" i="60" l="1"/>
  <c r="B51"/>
  <c r="B51" i="81"/>
  <c r="C50"/>
  <c r="B55" i="79"/>
  <c r="C54"/>
  <c r="B46" i="66"/>
  <c r="C45"/>
  <c r="C46" l="1"/>
  <c r="B47"/>
  <c r="C55" i="79"/>
  <c r="B56"/>
  <c r="C51" i="81"/>
  <c r="B52"/>
  <c r="C51" i="60"/>
  <c r="B52"/>
  <c r="B53" l="1"/>
  <c r="C52"/>
  <c r="C52" i="81"/>
  <c r="B53"/>
  <c r="C56" i="79"/>
  <c r="B57"/>
  <c r="B49" i="66"/>
  <c r="C47"/>
  <c r="I47" s="1"/>
  <c r="C57" i="79" l="1"/>
  <c r="B58"/>
  <c r="B54" i="81"/>
  <c r="C53"/>
  <c r="B50" i="66"/>
  <c r="C49"/>
  <c r="C53" i="60"/>
  <c r="B54"/>
  <c r="B51" i="66" l="1"/>
  <c r="C50"/>
  <c r="C54" i="81"/>
  <c r="B55"/>
  <c r="B55" i="60"/>
  <c r="C54"/>
  <c r="B59" i="79"/>
  <c r="C58"/>
  <c r="B75" l="1"/>
  <c r="C75" s="1"/>
  <c r="B74"/>
  <c r="C74" s="1"/>
  <c r="B60"/>
  <c r="C59"/>
  <c r="B56" i="60"/>
  <c r="C55"/>
  <c r="C51" i="66"/>
  <c r="B52"/>
  <c r="C55" i="81"/>
  <c r="B56"/>
  <c r="B57" i="60" l="1"/>
  <c r="C56"/>
  <c r="C56" i="81"/>
  <c r="B57"/>
  <c r="C52" i="66"/>
  <c r="B53"/>
  <c r="H59" i="79"/>
  <c r="B62"/>
  <c r="C60"/>
  <c r="H60" s="1"/>
  <c r="C53" i="66" l="1"/>
  <c r="B54"/>
  <c r="C57" i="81"/>
  <c r="B58"/>
  <c r="B63" i="79"/>
  <c r="C62"/>
  <c r="C57" i="60"/>
  <c r="B58"/>
  <c r="B59" l="1"/>
  <c r="C58"/>
  <c r="B59" i="81"/>
  <c r="C58"/>
  <c r="B55" i="66"/>
  <c r="C54"/>
  <c r="C63" i="79"/>
  <c r="B64"/>
  <c r="B65" l="1"/>
  <c r="C64"/>
  <c r="C55" i="66"/>
  <c r="B56"/>
  <c r="C59" i="81"/>
  <c r="B60"/>
  <c r="C59" i="60"/>
  <c r="B60"/>
  <c r="B75" i="81" l="1"/>
  <c r="C75" s="1"/>
  <c r="B61"/>
  <c r="C60"/>
  <c r="B76"/>
  <c r="C76" s="1"/>
  <c r="B57" i="66"/>
  <c r="C56"/>
  <c r="B66" i="79"/>
  <c r="C65"/>
  <c r="B75" i="60"/>
  <c r="C75" s="1"/>
  <c r="C60"/>
  <c r="B61"/>
  <c r="B76"/>
  <c r="C76" s="1"/>
  <c r="J12" l="1"/>
  <c r="C61"/>
  <c r="H61" s="1"/>
  <c r="B63"/>
  <c r="B67" i="79"/>
  <c r="C66"/>
  <c r="H66" s="1"/>
  <c r="B58" i="66"/>
  <c r="C57"/>
  <c r="L13" i="81"/>
  <c r="B63"/>
  <c r="C61"/>
  <c r="I61" s="1"/>
  <c r="C63" l="1"/>
  <c r="B64"/>
  <c r="C63" i="60"/>
  <c r="B64"/>
  <c r="C58" i="66"/>
  <c r="B59"/>
  <c r="C67" i="79"/>
  <c r="B69"/>
  <c r="B70" l="1"/>
  <c r="C69"/>
  <c r="C59" i="66"/>
  <c r="B60"/>
  <c r="C64" i="60"/>
  <c r="B65"/>
  <c r="B65" i="81"/>
  <c r="C64"/>
  <c r="B76" i="66" l="1"/>
  <c r="C76" s="1"/>
  <c r="C60"/>
  <c r="B61"/>
  <c r="B75"/>
  <c r="C75" s="1"/>
  <c r="C65" i="81"/>
  <c r="B66"/>
  <c r="C70" i="79"/>
  <c r="B71"/>
  <c r="B66" i="60"/>
  <c r="C65"/>
  <c r="B67" l="1"/>
  <c r="C66"/>
  <c r="C61" i="66"/>
  <c r="I61" s="1"/>
  <c r="B63"/>
  <c r="C71" i="79"/>
  <c r="H71" s="1"/>
  <c r="J12" s="1"/>
  <c r="B72"/>
  <c r="B67" i="81"/>
  <c r="C66"/>
  <c r="I60" i="66"/>
  <c r="C63" l="1"/>
  <c r="B64"/>
  <c r="B68" i="81"/>
  <c r="C67"/>
  <c r="I67" s="1"/>
  <c r="B68" i="60"/>
  <c r="C67"/>
  <c r="H67" s="1"/>
  <c r="C72" i="79"/>
  <c r="B77"/>
  <c r="B65" i="66" l="1"/>
  <c r="C64"/>
  <c r="B79" i="79"/>
  <c r="C77"/>
  <c r="C68" i="60"/>
  <c r="B70"/>
  <c r="C68" i="81"/>
  <c r="B70"/>
  <c r="B71" l="1"/>
  <c r="C70"/>
  <c r="C79" i="79"/>
  <c r="H79" s="1"/>
  <c r="B81"/>
  <c r="C65" i="66"/>
  <c r="B66"/>
  <c r="C70" i="60"/>
  <c r="B71"/>
  <c r="C71" l="1"/>
  <c r="B72"/>
  <c r="B67" i="66"/>
  <c r="C66"/>
  <c r="B83" i="79"/>
  <c r="C81"/>
  <c r="H81" s="1"/>
  <c r="C71" i="81"/>
  <c r="B72"/>
  <c r="B73" l="1"/>
  <c r="C72"/>
  <c r="I72" s="1"/>
  <c r="B84" i="79"/>
  <c r="C83"/>
  <c r="B68" i="66"/>
  <c r="C67"/>
  <c r="I67" s="1"/>
  <c r="B73" i="60"/>
  <c r="C72"/>
  <c r="H72" s="1"/>
  <c r="B78" l="1"/>
  <c r="C73"/>
  <c r="C68" i="66"/>
  <c r="B70"/>
  <c r="B85" i="79"/>
  <c r="C84"/>
  <c r="B78" i="81"/>
  <c r="C73"/>
  <c r="B80" l="1"/>
  <c r="C78"/>
  <c r="C85" i="79"/>
  <c r="B86"/>
  <c r="B80" i="60"/>
  <c r="C78"/>
  <c r="C70" i="66"/>
  <c r="B71"/>
  <c r="C86" i="79" l="1"/>
  <c r="B87"/>
  <c r="B82" i="60"/>
  <c r="C80"/>
  <c r="H80" s="1"/>
  <c r="B82" i="81"/>
  <c r="C80"/>
  <c r="I80" s="1"/>
  <c r="B72" i="66"/>
  <c r="C71"/>
  <c r="B73" l="1"/>
  <c r="C72"/>
  <c r="I72" s="1"/>
  <c r="K12" s="1"/>
  <c r="C82" i="60"/>
  <c r="H82" s="1"/>
  <c r="B84"/>
  <c r="B89" i="79"/>
  <c r="C87"/>
  <c r="H87" s="1"/>
  <c r="L87" s="1"/>
  <c r="B84" i="81"/>
  <c r="C82"/>
  <c r="I82" s="1"/>
  <c r="B85" l="1"/>
  <c r="C84"/>
  <c r="B90" i="79"/>
  <c r="C89"/>
  <c r="C73" i="66"/>
  <c r="B78"/>
  <c r="C84" i="60"/>
  <c r="B85"/>
  <c r="C90" i="79" l="1"/>
  <c r="B91"/>
  <c r="C85" i="81"/>
  <c r="B86"/>
  <c r="J84" i="60"/>
  <c r="C78" i="66"/>
  <c r="B80"/>
  <c r="C85" i="60"/>
  <c r="B86"/>
  <c r="B87" l="1"/>
  <c r="C86"/>
  <c r="B82" i="66"/>
  <c r="C80"/>
  <c r="I80" s="1"/>
  <c r="C86" i="81"/>
  <c r="B87"/>
  <c r="C91" i="79"/>
  <c r="B93"/>
  <c r="C93" s="1"/>
  <c r="C94" s="1"/>
  <c r="H94" l="1"/>
  <c r="C95"/>
  <c r="H91"/>
  <c r="L79" s="1"/>
  <c r="K94" s="1"/>
  <c r="L89"/>
  <c r="C87" i="81"/>
  <c r="B88"/>
  <c r="B84" i="66"/>
  <c r="C82"/>
  <c r="B88" i="60"/>
  <c r="C87"/>
  <c r="B85" i="66" l="1"/>
  <c r="C84"/>
  <c r="I82"/>
  <c r="C88" i="81"/>
  <c r="I88" s="1"/>
  <c r="B90"/>
  <c r="C88" i="60"/>
  <c r="H88" s="1"/>
  <c r="B90"/>
  <c r="H95" i="79"/>
  <c r="C96"/>
  <c r="C90" i="60" l="1"/>
  <c r="B91"/>
  <c r="C90" i="81"/>
  <c r="B91"/>
  <c r="C85" i="66"/>
  <c r="B86"/>
  <c r="C91" i="81" l="1"/>
  <c r="L90" s="1"/>
  <c r="B92"/>
  <c r="C86" i="66"/>
  <c r="B87"/>
  <c r="C96" i="81"/>
  <c r="J79" i="60"/>
  <c r="B92"/>
  <c r="C91"/>
  <c r="C97" i="81" l="1"/>
  <c r="I96"/>
  <c r="B88" i="66"/>
  <c r="C87"/>
  <c r="B95" i="81"/>
  <c r="C92"/>
  <c r="I92" s="1"/>
  <c r="C96" i="60"/>
  <c r="C92"/>
  <c r="H92" s="1"/>
  <c r="B95"/>
  <c r="B94" l="1"/>
  <c r="C94" s="1"/>
  <c r="C95"/>
  <c r="C97"/>
  <c r="H96"/>
  <c r="B94" i="81"/>
  <c r="C94" s="1"/>
  <c r="C95"/>
  <c r="B90" i="66"/>
  <c r="C88"/>
  <c r="I88" s="1"/>
  <c r="M88" s="1"/>
  <c r="C98" i="81"/>
  <c r="I97"/>
  <c r="C90" i="66" l="1"/>
  <c r="B91"/>
  <c r="C98" i="60"/>
  <c r="H97"/>
  <c r="B92" i="66" l="1"/>
  <c r="C91"/>
  <c r="C92" l="1"/>
  <c r="I92" s="1"/>
  <c r="B94"/>
  <c r="C94" l="1"/>
  <c r="B96"/>
  <c r="C96" s="1"/>
  <c r="B95"/>
  <c r="C95" s="1"/>
  <c r="M80" l="1"/>
  <c r="L97" s="1"/>
  <c r="C97"/>
  <c r="C98" l="1"/>
  <c r="I97"/>
  <c r="I98" l="1"/>
  <c r="C99"/>
</calcChain>
</file>

<file path=xl/sharedStrings.xml><?xml version="1.0" encoding="utf-8"?>
<sst xmlns="http://schemas.openxmlformats.org/spreadsheetml/2006/main" count="1931" uniqueCount="550">
  <si>
    <t>Восстановление (ремонт) выходов на  крышу</t>
  </si>
  <si>
    <t xml:space="preserve">Восстановление (ремонт)  парапетов,      архитектурных деталей  и т.д. </t>
  </si>
  <si>
    <t>Восстановление (ремонт)  систем       водоотвода</t>
  </si>
  <si>
    <t>Ремонт примыканий и заделка  стыков</t>
  </si>
  <si>
    <t xml:space="preserve">Ремонт, утепление дверей с     лестничных  площадок на чердак </t>
  </si>
  <si>
    <t>Окна, двери, световые фонари</t>
  </si>
  <si>
    <t xml:space="preserve">Восстановление (ремонт)  дверей в      помещениях общего  пользования </t>
  </si>
  <si>
    <t xml:space="preserve">Восстановление (ремонт)  окон в       помещениях  общего  пользования </t>
  </si>
  <si>
    <t>Замена  дверей в  помещениях  общего       пользования</t>
  </si>
  <si>
    <t xml:space="preserve">Замена окон в помещениях общего      пользования </t>
  </si>
  <si>
    <t xml:space="preserve">Утепление дверей в  помещениях       общего  пользования </t>
  </si>
  <si>
    <t>Восстановление (ремонт) дверных и      оконных  откосов</t>
  </si>
  <si>
    <t>Лестницы</t>
  </si>
  <si>
    <t xml:space="preserve">Ремонт ограждений,  поручней и      предохранительных   сеток </t>
  </si>
  <si>
    <t xml:space="preserve">Ремонт, замена  перил </t>
  </si>
  <si>
    <t xml:space="preserve">Окраска  металлических  элементов       лестниц </t>
  </si>
  <si>
    <t xml:space="preserve">Ремонт  пандусов </t>
  </si>
  <si>
    <t>Печи</t>
  </si>
  <si>
    <t xml:space="preserve">Ликвидация  неравномерного нагрева       поверхностей </t>
  </si>
  <si>
    <t xml:space="preserve">Ликвидация  трещин в  печах и трубах,       щелей вокруг разделки и выпадения из  нее кирпичей </t>
  </si>
  <si>
    <t>Ремонт печей, в том числе  топливной      камеры,  дымоходов,  топочной арматуры</t>
  </si>
  <si>
    <t>Теплоснабжение</t>
  </si>
  <si>
    <t xml:space="preserve">Ремонт,  внутридомовых тепловых сетей </t>
  </si>
  <si>
    <t xml:space="preserve">Ремонт, промывка  отопительных      элементов </t>
  </si>
  <si>
    <t xml:space="preserve">Восстановление теплоизоляции систем     теплоснабжения </t>
  </si>
  <si>
    <t>Замена и ремонт неисправностей в системах водопровода, канализации, теплоснабжения и электрооборудования</t>
  </si>
  <si>
    <t xml:space="preserve">обязательных работ и услуг по содержанию и ремонту </t>
  </si>
  <si>
    <t xml:space="preserve">Окраска стен  помещений </t>
  </si>
  <si>
    <t>1.Уборка чердачного и подвального помещения, навешивание замков</t>
  </si>
  <si>
    <t>На системах водоснабжения, теплоснабжения, канализации, электрических установок</t>
  </si>
  <si>
    <t>по мере поступления заявок</t>
  </si>
  <si>
    <t>Устранение повреждений, стяжка, перекрытий, перекрытие потолка</t>
  </si>
  <si>
    <t xml:space="preserve">Устранение  повреждений полов в  местах общего пользования  многоквартирного дома, замена лаг </t>
  </si>
  <si>
    <t xml:space="preserve">Восстановление (ремонт) вентиляционных  устройств, канализационных вытяжек </t>
  </si>
  <si>
    <t xml:space="preserve">Восстановление (ремонт)  слуховых окон </t>
  </si>
  <si>
    <t xml:space="preserve">Замена, ремонт окон в помещениях общего      пользования </t>
  </si>
  <si>
    <t>Водопровод и водоотведение (общие стояки)</t>
  </si>
  <si>
    <t>Прочистка дымохода</t>
  </si>
  <si>
    <t>Устранение повреждений перекрытий, перекрытие потолка, стяжка</t>
  </si>
  <si>
    <t xml:space="preserve">Ремонт шиферной кровли  </t>
  </si>
  <si>
    <t>Восстановление (ремонт) печных труб</t>
  </si>
  <si>
    <t>Ремонт печей (перекладка)</t>
  </si>
  <si>
    <t xml:space="preserve">Промывка  отопительных      элементов </t>
  </si>
  <si>
    <t xml:space="preserve">Ремонт (ввод) сетей      водоснабжения </t>
  </si>
  <si>
    <t xml:space="preserve">Ремонт (ввод)   сетей      канализации </t>
  </si>
  <si>
    <t>Горячее водоснабжение</t>
  </si>
  <si>
    <t xml:space="preserve">Ремонт, замена внутридомовых сетей       горячего водоснабжения </t>
  </si>
  <si>
    <t xml:space="preserve">Теплоизоляция сетей горячего     водоснабжения </t>
  </si>
  <si>
    <t xml:space="preserve">Окраска сетей и устройств горячего       водоснабжения </t>
  </si>
  <si>
    <t>Внутридомовое электрооборудование</t>
  </si>
  <si>
    <t xml:space="preserve">Ремонт,  замена шкафов вводных и      вводнораспределительных устройств </t>
  </si>
  <si>
    <t xml:space="preserve">Ремонт кабеля, проводов внутридомовых      электрических сетей </t>
  </si>
  <si>
    <t xml:space="preserve">Ремонт,  этажных  щитков и  шкафов </t>
  </si>
  <si>
    <t xml:space="preserve">Ремонт,  Эл. Счетчиков,  приборов      учета и регулирования общего пользования </t>
  </si>
  <si>
    <t xml:space="preserve">Ремонт, замена осветительных      установок (плафоны, лампы) помещений     общего  пользования </t>
  </si>
  <si>
    <t>Водопровод и водоотведение</t>
  </si>
  <si>
    <t xml:space="preserve">Ремонт, замена внутридомовых сетей      водоснабжения </t>
  </si>
  <si>
    <t xml:space="preserve">Ремонт, замена внутридомовых   сетей      канализации </t>
  </si>
  <si>
    <t>1. Дополнительные услуги по содержанию общего имущества полублагоустроенных домах</t>
  </si>
  <si>
    <t>Объекты внешнего благоустройства</t>
  </si>
  <si>
    <t xml:space="preserve">Ремонт объектов внешнего благоустройства </t>
  </si>
  <si>
    <t>Ремонт выгребных ям</t>
  </si>
  <si>
    <t>Озеленение (посадка, уход)</t>
  </si>
  <si>
    <t>Устранение аварий</t>
  </si>
  <si>
    <t>Управление жилищным фондом</t>
  </si>
  <si>
    <t xml:space="preserve">Итого </t>
  </si>
  <si>
    <t>Всего (обязательные и дополнительные работы и услуги)</t>
  </si>
  <si>
    <t xml:space="preserve">                 </t>
  </si>
  <si>
    <t>полублагоустроенное жилье</t>
  </si>
  <si>
    <t xml:space="preserve">Ремонт оборудования,  приборов и     арматуры водопроводной сети общего      пользования </t>
  </si>
  <si>
    <t>неблагоустроенное жилье</t>
  </si>
  <si>
    <t>аварийное жилье</t>
  </si>
  <si>
    <t>аварийное</t>
  </si>
  <si>
    <t xml:space="preserve">Единая диспетчерская служба </t>
  </si>
  <si>
    <t>III. Подготовка многоквартирного дома к сезонной эксплуатации</t>
  </si>
  <si>
    <t>Проверка  заземления оболочки  электрокабеля, замеры сопротивления изоляции проводов 2 раза в год</t>
  </si>
  <si>
    <t>IV.  Проведение технических осмотров и мелкий ремонт</t>
  </si>
  <si>
    <t>V. Устранение аварии и выполнение заявок населения</t>
  </si>
  <si>
    <t>IV.Проведение технических осмотров и мелкий ремонт</t>
  </si>
  <si>
    <t xml:space="preserve"> V.  Устранение аварии и выполнение заявок населения</t>
  </si>
  <si>
    <t>IV. Проведение технических осмотров и мелкий ремонт</t>
  </si>
  <si>
    <t>V.  Устранение аварии и выполнение заявок населения</t>
  </si>
  <si>
    <t>Стоимость 1 кв. метра общей площади (рублей в год)</t>
  </si>
  <si>
    <t>общая площадь всех лот</t>
  </si>
  <si>
    <t>Сумма в месяц</t>
  </si>
  <si>
    <t>кирпич</t>
  </si>
  <si>
    <t>№ п/п</t>
  </si>
  <si>
    <t>№№ п/п</t>
  </si>
  <si>
    <t>Виды услуг</t>
  </si>
  <si>
    <t>ед. изм.</t>
  </si>
  <si>
    <t>Объем</t>
  </si>
  <si>
    <t>Тариф без НДС, руб.</t>
  </si>
  <si>
    <t>Итого с НДС, тыс.руб. (1)</t>
  </si>
  <si>
    <t>на 1 кв.м обслуживаемой площади</t>
  </si>
  <si>
    <t>Техобслуживание</t>
  </si>
  <si>
    <t>Ремонт конструктивных элементов жилых зданий</t>
  </si>
  <si>
    <t>ООО "Сельэнерго"</t>
  </si>
  <si>
    <t>проверка венканалов</t>
  </si>
  <si>
    <t>создание дисп.службы</t>
  </si>
  <si>
    <t>электрообслуживание</t>
  </si>
  <si>
    <t>внутридомовые газовые сети</t>
  </si>
  <si>
    <t>Общеэксплуатациооные расходы</t>
  </si>
  <si>
    <t>Расчет на 2011г</t>
  </si>
  <si>
    <t>Факт 2011г</t>
  </si>
  <si>
    <t>Расчет на 2012г</t>
  </si>
  <si>
    <t>Услуги РКЦ</t>
  </si>
  <si>
    <t xml:space="preserve"> </t>
  </si>
  <si>
    <t>№</t>
  </si>
  <si>
    <t>п/п</t>
  </si>
  <si>
    <t>1.</t>
  </si>
  <si>
    <t>Полная себестоимость содержания и ремонта  жилищного фонда (тыс. руб.)</t>
  </si>
  <si>
    <t>Отчисления во внебюджетные фонды 34,2%</t>
  </si>
  <si>
    <t>таблица 5</t>
  </si>
  <si>
    <t>таблица 4</t>
  </si>
  <si>
    <r>
      <t xml:space="preserve">                          </t>
    </r>
    <r>
      <rPr>
        <sz val="11"/>
        <rFont val="Times New Roman"/>
        <family val="1"/>
        <charset val="204"/>
      </rPr>
      <t>таблица 1</t>
    </r>
  </si>
  <si>
    <t>таблица 6</t>
  </si>
  <si>
    <t>ООО "Жилсервис"</t>
  </si>
  <si>
    <t>МУП ЖКХ "Трифоновское"</t>
  </si>
  <si>
    <t>МУП ЖКХ "Черемышское"</t>
  </si>
  <si>
    <t xml:space="preserve">Материальная помощь </t>
  </si>
  <si>
    <t>1980руб*12мес.</t>
  </si>
  <si>
    <t>жилищного фонда Пышминского городского округа в 2012 году</t>
  </si>
  <si>
    <t>тыс.м2</t>
  </si>
  <si>
    <t>Таифная ставка 1 разряда -2208,81 руб.</t>
  </si>
  <si>
    <t>2012 год</t>
  </si>
  <si>
    <t>Услуги сторонних организаций по обслуживанию общедомового эл.оборудования</t>
  </si>
  <si>
    <t>Прочие затраты, обслуживание приборов учета</t>
  </si>
  <si>
    <t>тарифный коэффициент 6 раз. - 2,44</t>
  </si>
  <si>
    <t>кг</t>
  </si>
  <si>
    <t>Главный бухгалтер</t>
  </si>
  <si>
    <t>Ведущий экономист</t>
  </si>
  <si>
    <t>Юрисконсульт</t>
  </si>
  <si>
    <t>Оплата труда</t>
  </si>
  <si>
    <t>Расчет нормативного тарифа на содержание и ремонт муниципального</t>
  </si>
  <si>
    <t>Фактические затраты</t>
  </si>
  <si>
    <t>Нормативный расчет</t>
  </si>
  <si>
    <t>2011 год</t>
  </si>
  <si>
    <t>Всего, тыс. руб</t>
  </si>
  <si>
    <t>В месяц, руб. на 1 кв.м общ.пл.</t>
  </si>
  <si>
    <t>Доля, %</t>
  </si>
  <si>
    <t xml:space="preserve">Ремонт конструктивных элементов жилых зданий, в т.ч.: </t>
  </si>
  <si>
    <t>Оплата труда рабочих</t>
  </si>
  <si>
    <t>Отчисления на социальные нужды</t>
  </si>
  <si>
    <t>Прочие прямые расходы 15% от ФОТ</t>
  </si>
  <si>
    <t xml:space="preserve">Ремонт и обслуживание внутридомового инженерного оборудования, в т.ч. </t>
  </si>
  <si>
    <t>Материалы 25% от ФОТ</t>
  </si>
  <si>
    <t>Прочие прямые расходы</t>
  </si>
  <si>
    <t>Благоустройство и обеспечение санитарного состояния жилых зданий и придомовых территорий , всего</t>
  </si>
  <si>
    <t>Электрообслуживание</t>
  </si>
  <si>
    <t xml:space="preserve"> Услуги сторонних организаций (ВДПО, ВДГО)</t>
  </si>
  <si>
    <t xml:space="preserve">Прочие прямые затраты, в т.ч </t>
  </si>
  <si>
    <t>Содержание Службы заказчика</t>
  </si>
  <si>
    <t>Общеэксплуатационные расходы 15%</t>
  </si>
  <si>
    <t>Другие расходы</t>
  </si>
  <si>
    <t xml:space="preserve">Общеэксплуатационные расходы </t>
  </si>
  <si>
    <t>Содержание РКЦ</t>
  </si>
  <si>
    <t xml:space="preserve">Всего расходов по полной себестоимости </t>
  </si>
  <si>
    <t xml:space="preserve">Итого расходы по эксплуатации 1 кв.м общей площади </t>
  </si>
  <si>
    <t xml:space="preserve">Среднеэксплуатируемая общая площадь жилых зданий, тыс. кв.м </t>
  </si>
  <si>
    <t>Среднеэксплуатируемая общая площадь жилых помещений, тыс. кв.м (для санитарной уборки)</t>
  </si>
  <si>
    <t>Услуга не предоставляется</t>
  </si>
  <si>
    <t>Ремонт фундаментов</t>
  </si>
  <si>
    <t>Частичный ремонт стен, поврежденных гниением. Стяжка</t>
  </si>
  <si>
    <t>Устранение  (ремонт)  разрушений      штукатурки</t>
  </si>
  <si>
    <t>Ремонт полов, замена лаг</t>
  </si>
  <si>
    <t>Ремонт примыканий и конька</t>
  </si>
  <si>
    <t>1. Проведение  технических осмотров и устранение  незначительных неисправностей в  имеющихся инженерных сетях</t>
  </si>
  <si>
    <t>Устранение повреждений стен, (швов по наружке)</t>
  </si>
  <si>
    <t>Восстановление (ремонт) стен частичный,    поврежденных гниением</t>
  </si>
  <si>
    <t>Устранение повреждений перекрытий потолка</t>
  </si>
  <si>
    <t>Окраска деревянных  полов в местах общего пользования</t>
  </si>
  <si>
    <t>Ремонт, замена пола, лаг</t>
  </si>
  <si>
    <t xml:space="preserve">Ремонт, замена  дверей в      помещениях общего  пользования </t>
  </si>
  <si>
    <t>Утепление дверей в  помещениях       общего  пользования, подъезды (навешивание пружины)</t>
  </si>
  <si>
    <t>На системах  воддоснабжения, электрических установок</t>
  </si>
  <si>
    <t>Директор МУП ПГО "УК СЗ" _______________________________В.Б.Ржаников</t>
  </si>
  <si>
    <t>кв.м</t>
  </si>
  <si>
    <t>Расчет заработной платы</t>
  </si>
  <si>
    <t xml:space="preserve">                   рабочих по ремонту  жилых зданий</t>
  </si>
  <si>
    <t>профессия</t>
  </si>
  <si>
    <t>разряд</t>
  </si>
  <si>
    <t>Оклад за месяц, руб.</t>
  </si>
  <si>
    <t>Кол-во рабочих, чел.</t>
  </si>
  <si>
    <t>Заработная плата в месяц, руб.</t>
  </si>
  <si>
    <t>по ремонту конструктивных элементов жилых зданий</t>
  </si>
  <si>
    <t>Кровельщик по рулонным кровлям и покровлям из штучных материалов</t>
  </si>
  <si>
    <t>Бетонщик</t>
  </si>
  <si>
    <t>Изолировщик на гидроизоляции</t>
  </si>
  <si>
    <t>Каменщик</t>
  </si>
  <si>
    <t>Маляр строительный</t>
  </si>
  <si>
    <t>Монтажник по монтажу стальных и железобетонных конструкций</t>
  </si>
  <si>
    <t>Облицовщик-плиточник</t>
  </si>
  <si>
    <t>Облицовщик синтетическими материалами</t>
  </si>
  <si>
    <t>Печник</t>
  </si>
  <si>
    <t>Плотник</t>
  </si>
  <si>
    <t>Слесарь строительный</t>
  </si>
  <si>
    <t>Столяр строительный</t>
  </si>
  <si>
    <t>Стекольщик</t>
  </si>
  <si>
    <t>Штукатур</t>
  </si>
  <si>
    <t>Подсобный рабочий</t>
  </si>
  <si>
    <t>Всего за месяц:</t>
  </si>
  <si>
    <t>за год</t>
  </si>
  <si>
    <t>по содержанию и ремонту внутридомового инженерного оборудования</t>
  </si>
  <si>
    <t>собственников помещений в многоквартирном доме (многоэтажные дома)</t>
  </si>
  <si>
    <t>многоэтажные дома</t>
  </si>
  <si>
    <t>1. Подготовка зданий к отопительному сезону</t>
  </si>
  <si>
    <t>2. Сбрасывание снега с крыш, козырьков, сбивание сосулек</t>
  </si>
  <si>
    <t>Директор МУП ПГО "УК СЗ"</t>
  </si>
  <si>
    <t>Электромонтер по ремонту и обслужи-ванию оборудования в домах со скрытой эл. проводкой</t>
  </si>
  <si>
    <t>слесрь-сантехник водоснабжение и канализация (на квартиру)</t>
  </si>
  <si>
    <t>центр.отопление от ТЭЦ или картальной котельной (на 1000 кв.м общей площади)</t>
  </si>
  <si>
    <t>ИТОГО  ФЗП за месяц:</t>
  </si>
  <si>
    <t>Итого за год:</t>
  </si>
  <si>
    <t xml:space="preserve">Итого отчисления во внебюджетные фонды </t>
  </si>
  <si>
    <t>тарифный коэффициент 4 раз. - 1,91</t>
  </si>
  <si>
    <t>тарифный коэффициент 5 раз. - 2,16</t>
  </si>
  <si>
    <t>премия - 40%</t>
  </si>
  <si>
    <t>р.к. - 15%</t>
  </si>
  <si>
    <t>резерв на отпуск - 10%</t>
  </si>
  <si>
    <t>коэффициент невыхода - 1,12</t>
  </si>
  <si>
    <t>коэффициент вредности - 1,12</t>
  </si>
  <si>
    <t>Расход материалов на текущий ремонт жилфонда</t>
  </si>
  <si>
    <t xml:space="preserve">Общая площадь жилфонда  -  </t>
  </si>
  <si>
    <t>тыс. кв.м.</t>
  </si>
  <si>
    <t>Ед. изм.</t>
  </si>
  <si>
    <t>Норма расхода на 1000 кв.м. общей площади</t>
  </si>
  <si>
    <t>Расход материалов</t>
  </si>
  <si>
    <t>Цена за ед., руб.</t>
  </si>
  <si>
    <t>Стоимость материалов, руб.</t>
  </si>
  <si>
    <t>Гвозди</t>
  </si>
  <si>
    <t>тн</t>
  </si>
  <si>
    <t>Замочные и скобяные изделия</t>
  </si>
  <si>
    <t>компл.</t>
  </si>
  <si>
    <t xml:space="preserve">Краски строительные </t>
  </si>
  <si>
    <t>Плита ДВП, ДСП</t>
  </si>
  <si>
    <t>стекло строительное</t>
  </si>
  <si>
    <t>мягкие кровельные материалы</t>
  </si>
  <si>
    <t>тыс.кв.м</t>
  </si>
  <si>
    <t>шифер</t>
  </si>
  <si>
    <t>т.шт.</t>
  </si>
  <si>
    <t>цемент М 400</t>
  </si>
  <si>
    <t xml:space="preserve">лесоматериалы </t>
  </si>
  <si>
    <t>куб.м</t>
  </si>
  <si>
    <t>нефтебитум</t>
  </si>
  <si>
    <t>фанера</t>
  </si>
  <si>
    <t>гипс</t>
  </si>
  <si>
    <t>шт</t>
  </si>
  <si>
    <t>известь</t>
  </si>
  <si>
    <t>шпаклевка</t>
  </si>
  <si>
    <t>шурупы</t>
  </si>
  <si>
    <t>щебень</t>
  </si>
  <si>
    <t>песок</t>
  </si>
  <si>
    <t>профнастил оцинк</t>
  </si>
  <si>
    <t xml:space="preserve">Расчет нормативной численности </t>
  </si>
  <si>
    <t>Наименование основных профессий рабочих</t>
  </si>
  <si>
    <t>Единица измерения</t>
  </si>
  <si>
    <t>Нормативная численность на единицу измерения,чел.</t>
  </si>
  <si>
    <t>Обшая площадь</t>
  </si>
  <si>
    <t xml:space="preserve">Кирпичные  и каменные здания </t>
  </si>
  <si>
    <t>Крупнопанель-ные блочные здания</t>
  </si>
  <si>
    <t>Деревянные здания и из других материалов</t>
  </si>
  <si>
    <t>общая площадь крыш и подвалов</t>
  </si>
  <si>
    <t xml:space="preserve"> площадь крыш</t>
  </si>
  <si>
    <t xml:space="preserve"> площадь подвалов</t>
  </si>
  <si>
    <t>кирп.</t>
  </si>
  <si>
    <t>панельн.</t>
  </si>
  <si>
    <t>дерев.</t>
  </si>
  <si>
    <t>т.м2</t>
  </si>
  <si>
    <t>норм.числ.0,0595чел/1000м2</t>
  </si>
  <si>
    <t>1000м2 кровли из  шифера, азбоцемента,черепицы и пр.материалов</t>
  </si>
  <si>
    <t>норм.числ.0,00376чел/1000м2</t>
  </si>
  <si>
    <t>0,00096чел/1000м2</t>
  </si>
  <si>
    <t>1000м2 общей площади</t>
  </si>
  <si>
    <t>н.ч.0,0009чел/1000м2</t>
  </si>
  <si>
    <t>н.ч.0,0227</t>
  </si>
  <si>
    <t>н.ч.0,0111</t>
  </si>
  <si>
    <t>нет</t>
  </si>
  <si>
    <t>н.ч.0,02048</t>
  </si>
  <si>
    <t>н.ч.0,02295</t>
  </si>
  <si>
    <t>н.ч.0,02485</t>
  </si>
  <si>
    <t>н.ч.0,00612</t>
  </si>
  <si>
    <t>норм.числ.0,0043чел/1000м2</t>
  </si>
  <si>
    <t>норм.числ.0,00046чел/1000м2</t>
  </si>
  <si>
    <t>норм.числ.0,0068чел/1000м2</t>
  </si>
  <si>
    <t>1000м2 общей площади с печным отоплением</t>
  </si>
  <si>
    <t>норм.числ.0,0008чел/1000м2</t>
  </si>
  <si>
    <t>норм.числ.0,027чел/1000м2</t>
  </si>
  <si>
    <t>норм.числ.0,0263чел/1000м2</t>
  </si>
  <si>
    <t>1000м2 общей площади чердаков и подвалов</t>
  </si>
  <si>
    <t>по обслуживанию электроснабжения</t>
  </si>
  <si>
    <t>срок эксплуатации зданий (лет)</t>
  </si>
  <si>
    <t>до 10</t>
  </si>
  <si>
    <t>от 11до 30</t>
  </si>
  <si>
    <t xml:space="preserve">свыше 31 </t>
  </si>
  <si>
    <t>нормы обслуживания квартир на 1 рабочего</t>
  </si>
  <si>
    <t>квартира</t>
  </si>
  <si>
    <t>фактич.кол-во квартир в многокварт.домах</t>
  </si>
  <si>
    <t>Крупнопанельные блочные здания</t>
  </si>
  <si>
    <t>отопление</t>
  </si>
  <si>
    <t xml:space="preserve">Ремонт,  замена шкафов вводных и      водораспределительных устройств </t>
  </si>
  <si>
    <t>Восстановление (ремонт) вентиляционных труб</t>
  </si>
  <si>
    <t>Устранение повреждений стен, (заделка трещин, швов по наружке)</t>
  </si>
  <si>
    <t>1. Дополнительные услуги по содержанию неблагоустроенного муниципального жилья на 01.01.2013года</t>
  </si>
  <si>
    <t>2.Обслуживание приборов учета</t>
  </si>
  <si>
    <t>Обкоска придомовой территории</t>
  </si>
  <si>
    <t>Контроль за состоянием площадок для мусорных бочков и контейнеров для сбора твердых бытовых отходов</t>
  </si>
  <si>
    <t>1. Дополнительные услуги по содержанию малоэтажного, благоустроенного муниципального жилья</t>
  </si>
  <si>
    <t>малоэтажного, благоустроенного муниципального жилья на 2013год</t>
  </si>
  <si>
    <t>неблагоустроенного муниципального жилья на 2013 год</t>
  </si>
  <si>
    <t>.</t>
  </si>
  <si>
    <t>Таблица №3</t>
  </si>
  <si>
    <t>ООО "Универсалстрой"</t>
  </si>
  <si>
    <t>ООО"Новые инициативы"</t>
  </si>
  <si>
    <t>ООО "Благовест"</t>
  </si>
  <si>
    <t>ООО "Строймашкомплекс"</t>
  </si>
  <si>
    <t>ООО "Термокомфорт"</t>
  </si>
  <si>
    <t>Заработная плата в месяц, руб.(после коррект.)</t>
  </si>
  <si>
    <t>привл.организации</t>
  </si>
  <si>
    <t>по обслуживанию внутридомового оборудования</t>
  </si>
  <si>
    <t>общая площадь</t>
  </si>
  <si>
    <t>общая площадь отапливаемого жилья</t>
  </si>
  <si>
    <t>Устранение повреждений полов в местах общего пользования многоквартирного дома, замена лаг</t>
  </si>
  <si>
    <t>Устранение протечек кровли</t>
  </si>
  <si>
    <t>Восстановление (ремонт) вентиляционных устройств, канализационных вытяжек</t>
  </si>
  <si>
    <t>Восстановление (ремонт)  слуховых окон</t>
  </si>
  <si>
    <t>Услуги расчетно-кассового обслуживания</t>
  </si>
  <si>
    <t xml:space="preserve"> Услуги сторонних организаций  ВДГО</t>
  </si>
  <si>
    <t xml:space="preserve">Прочие прямые затраты, </t>
  </si>
  <si>
    <t>Техобслуживание и содержание жилфонда</t>
  </si>
  <si>
    <t>теплосчетчики</t>
  </si>
  <si>
    <t>проект</t>
  </si>
  <si>
    <t>покупка контейнеров</t>
  </si>
  <si>
    <t>трансп.усл</t>
  </si>
  <si>
    <t>таблички информац.</t>
  </si>
  <si>
    <t>валка дерева</t>
  </si>
  <si>
    <t>штрафы</t>
  </si>
  <si>
    <t>выплаты по судам</t>
  </si>
  <si>
    <t>насосы</t>
  </si>
  <si>
    <t>бензокоса</t>
  </si>
  <si>
    <t>проведение субботников</t>
  </si>
  <si>
    <t>ООО "ТСК" (эл.энергия)</t>
  </si>
  <si>
    <t>Прочие затраты</t>
  </si>
  <si>
    <t xml:space="preserve">Ремонт,  эл.счетчиков,  приборов      учета и регулирования общего пользования </t>
  </si>
  <si>
    <t>Устранение повреждений стен,  (заделка трещин, швов по наружке)</t>
  </si>
  <si>
    <t>Замена и ремонт неисправностей в системах водоснабжения, и электрооборудования</t>
  </si>
  <si>
    <t>собственников помещений в многоквартирном доме, полублагоустроенном</t>
  </si>
  <si>
    <t>На системах водоснабжения</t>
  </si>
  <si>
    <t xml:space="preserve">общая площадь </t>
  </si>
  <si>
    <t>Устранение повреждений стен (заделка трещин, швов по наружке)</t>
  </si>
  <si>
    <t>Окраска стен  помещений общего пользования (подъезды.коридоры общежитий)</t>
  </si>
  <si>
    <t>Частичный ремонт стен,    поврежденных гниением</t>
  </si>
  <si>
    <t xml:space="preserve">Восстановление (ремонт) стальных      деталей  крепления  (кронштейны  пожарных лестниц,  ухваты водосточных  труб, отливы.) </t>
  </si>
  <si>
    <t>Восстановление теплоизоляци на потолочных  перекрытиях</t>
  </si>
  <si>
    <t>Ремонт примыканий и коньков</t>
  </si>
  <si>
    <t xml:space="preserve">Замена, ремонт  дверей в      помещениях общего  пользования </t>
  </si>
  <si>
    <t>Утепление дверей в  подъездах (навешивание пружины)</t>
  </si>
  <si>
    <t xml:space="preserve">Ремонт, замена ввод сетей      водоснабжения </t>
  </si>
  <si>
    <t>Устранение повреждений фундаментов (заливка, штукатурка)</t>
  </si>
  <si>
    <t>Восстановление, замена стен частичный,    поврежденных гниением</t>
  </si>
  <si>
    <t>Уплотнение стыков с установкой      нащельников, конопаткой пазов между       венцами, стяжка стен</t>
  </si>
  <si>
    <t>Устранение повреждений перекрытий, перекрытие потолка</t>
  </si>
  <si>
    <t>Ремонт, замена полов и лаг</t>
  </si>
  <si>
    <t>Ремонт, замена примыканий и конька</t>
  </si>
  <si>
    <t>МУП  ПГО "УК СЗ" на 2013 год</t>
  </si>
  <si>
    <t>Обслуживание внутридомового газового оборудования</t>
  </si>
  <si>
    <t>1. Дополнительные услуги по содержанию общего имущества в жилищном фонде</t>
  </si>
  <si>
    <t>собственников помещений в жилищном фонде</t>
  </si>
  <si>
    <t>Директор МУП ПГО "УК СЗ" ____________________________________  В.Б.Ржаников</t>
  </si>
  <si>
    <t>Расчет расходов</t>
  </si>
  <si>
    <t>Услуги связи</t>
  </si>
  <si>
    <t>Оплата коммунальных услуг</t>
  </si>
  <si>
    <t>Оргтехника</t>
  </si>
  <si>
    <t>Прочие расходы</t>
  </si>
  <si>
    <t>___________________В.Б.Ржаников</t>
  </si>
  <si>
    <t>"____"___________________2012г.</t>
  </si>
  <si>
    <t xml:space="preserve">Смета расходов </t>
  </si>
  <si>
    <t xml:space="preserve"> на содержание МУП ПГО "УК СЗ" на 2013 год</t>
  </si>
  <si>
    <t>222 646,9*12</t>
  </si>
  <si>
    <t>125 685,00 *2</t>
  </si>
  <si>
    <t>Отчисления 30,2%</t>
  </si>
  <si>
    <t>400р*4шт.*12м*1,18*1,15</t>
  </si>
  <si>
    <t>41,88Гкал*1778,67*1,15</t>
  </si>
  <si>
    <t>эл\энергия</t>
  </si>
  <si>
    <t>2700*12*1,15</t>
  </si>
  <si>
    <t>вода, ЖБО , ТБО</t>
  </si>
  <si>
    <t>приобретение автомобиля</t>
  </si>
  <si>
    <t>3750*12</t>
  </si>
  <si>
    <t xml:space="preserve">исп.главный бухгалтер     М.В.Чернакова </t>
  </si>
  <si>
    <t>на 2013 год</t>
  </si>
  <si>
    <t>16.10.2012г</t>
  </si>
  <si>
    <t>СПРАВКА по обслуживаемому жилью на 2013год</t>
  </si>
  <si>
    <t>Ожидаемое на 2012г</t>
  </si>
  <si>
    <t>Расчет на 2013г</t>
  </si>
  <si>
    <t>Показатели</t>
  </si>
  <si>
    <t>%</t>
  </si>
  <si>
    <t>Водитель</t>
  </si>
  <si>
    <t>Электрогазосварщик</t>
  </si>
  <si>
    <t>Утверждаю:</t>
  </si>
  <si>
    <t>Материалы</t>
  </si>
  <si>
    <t xml:space="preserve">№ </t>
  </si>
  <si>
    <t>Статьи затрат</t>
  </si>
  <si>
    <t>ставки</t>
  </si>
  <si>
    <t>з/плата, руб.</t>
  </si>
  <si>
    <t>Затраты, руб.</t>
  </si>
  <si>
    <t>Директор</t>
  </si>
  <si>
    <t>Гл. специалист по содержанию жилфонда</t>
  </si>
  <si>
    <t>Специалист по содержанию жилфонда</t>
  </si>
  <si>
    <t>Инженер по организации эксплуатации и ремонту зданий и сооружений</t>
  </si>
  <si>
    <t>Зам. главного бухгалтера</t>
  </si>
  <si>
    <t>Энергетик</t>
  </si>
  <si>
    <t>Специалист по приватизации и паспортному режиму</t>
  </si>
  <si>
    <t>Специалист</t>
  </si>
  <si>
    <t>Уборщик служебных помещений</t>
  </si>
  <si>
    <t>Плата за телефон</t>
  </si>
  <si>
    <t>Тел.переговоры, факс</t>
  </si>
  <si>
    <t>Интернет</t>
  </si>
  <si>
    <t>приобретение програмного продукта</t>
  </si>
  <si>
    <t>Смета РТС</t>
  </si>
  <si>
    <t>полиграфические услуги</t>
  </si>
  <si>
    <t>подписка, объявления</t>
  </si>
  <si>
    <t>установка телефона</t>
  </si>
  <si>
    <t>телефонный аппарат</t>
  </si>
  <si>
    <t>приобретение мебели</t>
  </si>
  <si>
    <t>приобретение оргтехники</t>
  </si>
  <si>
    <t>канцтовары</t>
  </si>
  <si>
    <t>расх.матер. к оргтехнике, обслуж.оргетхники</t>
  </si>
  <si>
    <t>транспортные услуги</t>
  </si>
  <si>
    <t>подготовка кадров, обучение</t>
  </si>
  <si>
    <t>аттестация рабочих мест</t>
  </si>
  <si>
    <t>спецодежда</t>
  </si>
  <si>
    <t xml:space="preserve">налоги </t>
  </si>
  <si>
    <t>услуги банка</t>
  </si>
  <si>
    <t>охрана помещения</t>
  </si>
  <si>
    <t>Всего:</t>
  </si>
  <si>
    <t>ПЕРЕЧЕНЬ</t>
  </si>
  <si>
    <t>обязательных работ и услуг по содержанию и ремонту общего имущества</t>
  </si>
  <si>
    <t xml:space="preserve">собственников помещений в многоквартирном доме, являющегося объектом конкурса </t>
  </si>
  <si>
    <t>Наименование работ и услуг</t>
  </si>
  <si>
    <t>Периодичность</t>
  </si>
  <si>
    <t>Годовая</t>
  </si>
  <si>
    <t>плата</t>
  </si>
  <si>
    <t>(тыс. рублей)</t>
  </si>
  <si>
    <t xml:space="preserve">Прочистка дымохода,  вентиляционных каналов </t>
  </si>
  <si>
    <t>Устранение повреждений фундаментов (штукатурка, побелка)</t>
  </si>
  <si>
    <t>Восстановление (ремонт) окон на       продухах фундамента</t>
  </si>
  <si>
    <t>Устранение повреждений стен, в том       числе в  подвалах и  чердаках (заделка трещин, швов по наружке)</t>
  </si>
  <si>
    <t xml:space="preserve">Восстановление (ремонт)  стальных       деталей крепления (кронштейны  пожарных  лестниц, чердачных лестниц.) </t>
  </si>
  <si>
    <t>Восстановление (ремонт) стен частичный,    поврежденных гниением,  домовыми       грибками,  дереворазрушающими       насекомыми</t>
  </si>
  <si>
    <t xml:space="preserve">Восстановление (ремонт) стальных      деталей  крепления  (кронштейны  пожарных лестниц, флагодержатели, ухваты водосточных  труб, отливы.) </t>
  </si>
  <si>
    <t>Окраска стен  помещений общего      пользования общежития</t>
  </si>
  <si>
    <t>Восстановление (ремонт) выходов на  крышу (чердачные люки)</t>
  </si>
  <si>
    <t>Утепление дверей в  помещениях       общего  пользования (навешивание пружины)</t>
  </si>
  <si>
    <t>2.Обслуживание прибооров учета</t>
  </si>
  <si>
    <t>9 месяцев</t>
  </si>
  <si>
    <t>Стоимость</t>
  </si>
  <si>
    <t>на 1 м2 общей</t>
  </si>
  <si>
    <t>площади</t>
  </si>
  <si>
    <t>(руб. в месяц)</t>
  </si>
  <si>
    <t>Гарантийный срок на выполнение работы (лет)</t>
  </si>
  <si>
    <t>Благоустроенное жилье</t>
  </si>
  <si>
    <t>I. Санитарные работы по содержанию помещений общего пользования</t>
  </si>
  <si>
    <t>1.Уборка чердачного и подвального помещения</t>
  </si>
  <si>
    <t>1 раз в год</t>
  </si>
  <si>
    <t>II. Уборка земельного участка, входящего в состав общего имущества  многоквартирного дома</t>
  </si>
  <si>
    <t xml:space="preserve">По необходимости </t>
  </si>
  <si>
    <t>1. Укрепление водосточных труб, колен и воронок</t>
  </si>
  <si>
    <t>V. Проведение технических осмотров и мелкий ремонт</t>
  </si>
  <si>
    <t>1. Проведение  технических осмотров и устранение  незначительных неисправностей в  системах  водопровода и  канализации, теплоснабжения, электрических устройств</t>
  </si>
  <si>
    <t xml:space="preserve">Прочистка канализационного лежака 1 раз в год.    </t>
  </si>
  <si>
    <t xml:space="preserve">Проверка исправности канализационных   вытяжек 1 раз в год  </t>
  </si>
  <si>
    <t xml:space="preserve">Проверка наличия тяги в дымовентиляционных каналах 1 раз в год   </t>
  </si>
  <si>
    <t xml:space="preserve"> Проверка  заземления оболочки  электрокабеля, замеры сопротивления изоляции проводов 2 раза в год</t>
  </si>
  <si>
    <t>VI. Устранение аварии и выполнение заявок населения</t>
  </si>
  <si>
    <t>1. Устранение аварии</t>
  </si>
  <si>
    <t>На системах водоснабжения, теплоснабжения</t>
  </si>
  <si>
    <t>2. Выполнение заявок населения</t>
  </si>
  <si>
    <t xml:space="preserve">Замена разбитого стекла: зимой в течение 1 суток, летом  в течение 3 суток </t>
  </si>
  <si>
    <t>Итого</t>
  </si>
  <si>
    <t>1. Ликвидация наледи</t>
  </si>
  <si>
    <t>2. Сбрасывание снега с крыш, сбивание сосулек</t>
  </si>
  <si>
    <t>дополнительных работ и услуг по содержанию и ремонту</t>
  </si>
  <si>
    <t>общего имущества собственников помещений</t>
  </si>
  <si>
    <t>в многоквартирном доме, являющегося объектом конкурса</t>
  </si>
  <si>
    <t>1. Дополнительные услуги по содержанию общего имущества</t>
  </si>
  <si>
    <t>Перечень работ, материалы</t>
  </si>
  <si>
    <t>Объем работ</t>
  </si>
  <si>
    <t>Стоимость работ</t>
  </si>
  <si>
    <t xml:space="preserve"> ( тыс. рублей), </t>
  </si>
  <si>
    <t>дата их начала и завершения</t>
  </si>
  <si>
    <t>Стоимость 1 кв. метра общей площади (рублей в месяц)</t>
  </si>
  <si>
    <t>Фундаменты</t>
  </si>
  <si>
    <t>Устранение повреждений фундаментов</t>
  </si>
  <si>
    <t xml:space="preserve">Восстановление (ремонт) освещения и       вентиляции подвала </t>
  </si>
  <si>
    <t>Восстановление (ремонт) решеток на       продухах фундамента</t>
  </si>
  <si>
    <t>Восстановление (ремонт)  приямков</t>
  </si>
  <si>
    <t>Восстановление (ремонт)  отмостки</t>
  </si>
  <si>
    <t>Восстановление (ремонт) гидроизоляции</t>
  </si>
  <si>
    <t>Восстановление (ремонт) вводов      инженерных   коммуникаций  в подвальные помещения через  фундаменты</t>
  </si>
  <si>
    <t>Каменные, кирпичные, железобетонные стены</t>
  </si>
  <si>
    <t xml:space="preserve">Устранение повреждений стен, в том       числе в  подвалах и  чердаках </t>
  </si>
  <si>
    <t>Устранение  деформации  стен и</t>
  </si>
  <si>
    <t xml:space="preserve">      Перегородок</t>
  </si>
  <si>
    <t>Восстановление креплений выступающих       деталей фасада, включая  лепные      украшения</t>
  </si>
  <si>
    <t xml:space="preserve">Восстановление (ремонт)  разрушений и       повреждений  отделочного   слоя </t>
  </si>
  <si>
    <t>Восстановление (ремонт)  облицовки       плиткой</t>
  </si>
  <si>
    <t xml:space="preserve">Восстановление (ремонт) водоотводящих       устройств наружных стен </t>
  </si>
  <si>
    <t xml:space="preserve">Восстановление (ремонт)  стальных       деталей крепления (кронштейны  пожарных  лестниц, флагодержатели, ухваты      водосточных труб и др.) </t>
  </si>
  <si>
    <t xml:space="preserve">Окраска стен  помещений общего       пользования </t>
  </si>
  <si>
    <t>Деревянные стены</t>
  </si>
  <si>
    <t>Устранение крена, просадок, выпучивания стен</t>
  </si>
  <si>
    <t>Восстановление (ремонт) стен,    поврежденных гниением,  домовыми       грибками,  дереворазрушающими       насекомыми</t>
  </si>
  <si>
    <t xml:space="preserve">Ликвидация  просадки  засыпки в       каркасных   стенах </t>
  </si>
  <si>
    <t>Устранение  (ремонт)  разрушений      штукатурки и   обшивки</t>
  </si>
  <si>
    <t xml:space="preserve">Уплотнение стыков с установкой      нащельников, конопаткой пазов между       венцами, заделкой  щелей и трещин </t>
  </si>
  <si>
    <t>Окраска  деревянных неоштукатуренных  зданий паропроницаемыми  красками    или составами для усиления  пожаробезопасности и защиты от грибка и  гниения</t>
  </si>
  <si>
    <t xml:space="preserve">восстановление (ремонт) водоотводящих       устройств наружных стен </t>
  </si>
  <si>
    <t xml:space="preserve">Восстановление (ремонт) стальных      деталей  крепления  (кронштейны  пожарных лестниц, флагодержатели, ухваты водосточных  труб.) </t>
  </si>
  <si>
    <t xml:space="preserve">Окраска стен  помещений общего      пользования </t>
  </si>
  <si>
    <t>Перекрытия</t>
  </si>
  <si>
    <t xml:space="preserve">Устранение повреждений перекрытий </t>
  </si>
  <si>
    <t>Восстановление водоизоляционных   свойств  перекрытий (перекрытия в  санитарных  узлах)</t>
  </si>
  <si>
    <t xml:space="preserve">Ремонт перекрытий, пораженных       древесными домовыми грибками  и/или      дереворазрушающими  насекомыми </t>
  </si>
  <si>
    <t xml:space="preserve">Усиление  перекрытий </t>
  </si>
  <si>
    <t>Заделка  неплотностей вокруг       трубопроводов отопления и горячего       водоснабжения, проходящих через       перекрытия</t>
  </si>
  <si>
    <t>Полы</t>
  </si>
  <si>
    <t xml:space="preserve">Устранение  повреждений полов в  местах общего пользования  многоквартирного дома </t>
  </si>
  <si>
    <t xml:space="preserve">Восстановление защитно-отделочного       покрытия пола </t>
  </si>
  <si>
    <t xml:space="preserve">Окраска деревянных  полов </t>
  </si>
  <si>
    <t>Ремонт полов</t>
  </si>
  <si>
    <t>Перегородки</t>
  </si>
  <si>
    <t xml:space="preserve">Устранение повреждений перегородок,       ликвидация  излишнего  наклона или      выпучивания  перегородок </t>
  </si>
  <si>
    <t>Крыши</t>
  </si>
  <si>
    <t xml:space="preserve">Устранение  протечек кровли  </t>
  </si>
  <si>
    <t xml:space="preserve">Восстановление (ремонт) вентиляционных  устройств  (оборудования) </t>
  </si>
  <si>
    <t>Окраска металлической кровли</t>
  </si>
  <si>
    <t xml:space="preserve">Покрытие  мягких  кровель  защитными      мастиками </t>
  </si>
  <si>
    <t>Окраска  стальных связей и  креплений,       размещенных  на крыше и в   чердачных       помещениях</t>
  </si>
  <si>
    <t xml:space="preserve">Восстановление (ремонт)  продухов       вентиляции </t>
  </si>
  <si>
    <t xml:space="preserve">Восстановление (ремонт) дымовых и       вентиляционных труб </t>
  </si>
  <si>
    <t xml:space="preserve">Восстановление (ремонт)  дефлекторов </t>
  </si>
  <si>
    <t xml:space="preserve">Директор МУП ПГО "УК СЗ" ____________________________________  </t>
  </si>
  <si>
    <t>Директор МУП ПГО "УК СЗ" _______________________________</t>
  </si>
  <si>
    <t>Объем работ     (кв.м)</t>
  </si>
  <si>
    <t>Объем работ   (кв.м)</t>
  </si>
  <si>
    <t xml:space="preserve">Директор МУП ПГО "УК СЗ" ____________________________________ </t>
  </si>
  <si>
    <t>выполнено</t>
  </si>
  <si>
    <t>Годовая плата (тыс. рублей)</t>
  </si>
  <si>
    <t>Стоимость на 1 м2 общей площади (руб. в месяц)</t>
  </si>
  <si>
    <t>Стоимость работ (тыс. рублей), дата их начала и завершения</t>
  </si>
  <si>
    <t>Результат выполнения работы (услуги)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</si>
</sst>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-* #,##0_р_._-;\-* #,##0_р_._-;_-* &quot;-&quot;??_р_._-;_-@_-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Helvetica, sans-serif"/>
    </font>
    <font>
      <vertAlign val="superscript"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</font>
    <font>
      <sz val="12"/>
      <name val="Arial"/>
      <family val="2"/>
    </font>
    <font>
      <sz val="10"/>
      <color indexed="41"/>
      <name val="Arial Cyr"/>
      <charset val="204"/>
    </font>
    <font>
      <b/>
      <sz val="8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b/>
      <sz val="10"/>
      <color indexed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3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top" textRotation="90" wrapText="1"/>
    </xf>
    <xf numFmtId="0" fontId="6" fillId="0" borderId="2" xfId="0" applyFont="1" applyBorder="1" applyAlignment="1">
      <alignment horizontal="center" vertical="top" textRotation="90" wrapText="1"/>
    </xf>
    <xf numFmtId="0" fontId="0" fillId="0" borderId="2" xfId="0" applyBorder="1" applyAlignment="1">
      <alignment vertical="top" textRotation="90" wrapText="1"/>
    </xf>
    <xf numFmtId="0" fontId="0" fillId="0" borderId="3" xfId="0" applyBorder="1" applyAlignment="1">
      <alignment vertical="top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6" fillId="0" borderId="0" xfId="0" applyFont="1"/>
    <xf numFmtId="0" fontId="4" fillId="0" borderId="0" xfId="0" applyFont="1"/>
    <xf numFmtId="165" fontId="6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justify"/>
    </xf>
    <xf numFmtId="0" fontId="9" fillId="0" borderId="0" xfId="0" applyFont="1"/>
    <xf numFmtId="0" fontId="8" fillId="0" borderId="3" xfId="0" applyFont="1" applyBorder="1" applyAlignment="1">
      <alignment horizontal="center" vertical="top" wrapText="1"/>
    </xf>
    <xf numFmtId="0" fontId="0" fillId="0" borderId="10" xfId="0" applyBorder="1"/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10" xfId="0" applyFill="1" applyBorder="1"/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164" fontId="2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64" fontId="25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2" fontId="23" fillId="0" borderId="10" xfId="0" applyNumberFormat="1" applyFont="1" applyBorder="1" applyAlignment="1">
      <alignment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0" fillId="0" borderId="0" xfId="0" applyNumberFormat="1" applyBorder="1"/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9" xfId="0" applyFont="1" applyBorder="1" applyAlignment="1">
      <alignment horizontal="center" vertical="justify" wrapText="1"/>
    </xf>
    <xf numFmtId="0" fontId="4" fillId="0" borderId="11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vertical="justify"/>
    </xf>
    <xf numFmtId="0" fontId="3" fillId="0" borderId="14" xfId="0" applyFont="1" applyBorder="1" applyAlignment="1">
      <alignment vertical="justify" wrapText="1"/>
    </xf>
    <xf numFmtId="49" fontId="3" fillId="0" borderId="14" xfId="0" applyNumberFormat="1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vertical="justify" wrapText="1"/>
    </xf>
    <xf numFmtId="0" fontId="3" fillId="0" borderId="14" xfId="0" applyFont="1" applyBorder="1" applyAlignment="1">
      <alignment vertical="justify"/>
    </xf>
    <xf numFmtId="0" fontId="4" fillId="0" borderId="14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justify"/>
    </xf>
    <xf numFmtId="0" fontId="5" fillId="0" borderId="21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3" fontId="0" fillId="0" borderId="0" xfId="0" applyNumberFormat="1"/>
    <xf numFmtId="43" fontId="9" fillId="0" borderId="17" xfId="0" applyNumberFormat="1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center" wrapText="1"/>
    </xf>
    <xf numFmtId="43" fontId="7" fillId="0" borderId="17" xfId="0" applyNumberFormat="1" applyFont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3" fontId="0" fillId="2" borderId="0" xfId="0" applyNumberFormat="1" applyFill="1"/>
    <xf numFmtId="43" fontId="2" fillId="2" borderId="0" xfId="0" applyNumberFormat="1" applyFont="1" applyFill="1"/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65" fontId="7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0" fillId="0" borderId="0" xfId="0" applyNumberFormat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2" fillId="0" borderId="0" xfId="0" applyNumberFormat="1" applyFont="1" applyAlignment="1">
      <alignment horizontal="center" vertical="center"/>
    </xf>
    <xf numFmtId="0" fontId="6" fillId="0" borderId="27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49" fontId="2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0" xfId="0" applyFont="1" applyBorder="1"/>
    <xf numFmtId="0" fontId="3" fillId="0" borderId="12" xfId="0" applyFont="1" applyBorder="1"/>
    <xf numFmtId="0" fontId="6" fillId="3" borderId="32" xfId="0" applyFont="1" applyFill="1" applyBorder="1" applyAlignment="1">
      <alignment horizontal="center" vertical="center"/>
    </xf>
    <xf numFmtId="2" fontId="4" fillId="3" borderId="33" xfId="0" applyNumberFormat="1" applyFont="1" applyFill="1" applyBorder="1" applyAlignment="1">
      <alignment horizontal="center"/>
    </xf>
    <xf numFmtId="2" fontId="4" fillId="3" borderId="32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3" fillId="3" borderId="33" xfId="0" applyNumberFormat="1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left" vertical="center" wrapText="1"/>
    </xf>
    <xf numFmtId="49" fontId="3" fillId="3" borderId="34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33" xfId="0" applyFont="1" applyBorder="1"/>
    <xf numFmtId="2" fontId="3" fillId="0" borderId="3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13" fillId="0" borderId="11" xfId="0" applyFont="1" applyBorder="1"/>
    <xf numFmtId="0" fontId="4" fillId="3" borderId="32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/>
    </xf>
    <xf numFmtId="0" fontId="4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2" fontId="4" fillId="3" borderId="37" xfId="0" applyNumberFormat="1" applyFont="1" applyFill="1" applyBorder="1" applyAlignment="1">
      <alignment horizontal="center" vertical="center"/>
    </xf>
    <xf numFmtId="2" fontId="4" fillId="3" borderId="36" xfId="0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/>
    </xf>
    <xf numFmtId="2" fontId="3" fillId="3" borderId="38" xfId="0" applyNumberFormat="1" applyFont="1" applyFill="1" applyBorder="1" applyAlignment="1">
      <alignment horizontal="center"/>
    </xf>
    <xf numFmtId="2" fontId="31" fillId="0" borderId="40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11" xfId="0" applyFont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38" xfId="0" applyNumberFormat="1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2" fontId="4" fillId="3" borderId="42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  <xf numFmtId="0" fontId="3" fillId="0" borderId="14" xfId="0" applyFont="1" applyBorder="1"/>
    <xf numFmtId="2" fontId="3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0" fillId="0" borderId="10" xfId="0" applyNumberFormat="1" applyBorder="1"/>
    <xf numFmtId="0" fontId="5" fillId="0" borderId="13" xfId="0" applyFont="1" applyBorder="1" applyAlignment="1">
      <alignment horizontal="center" vertical="justify"/>
    </xf>
    <xf numFmtId="43" fontId="3" fillId="0" borderId="10" xfId="1" applyFont="1" applyBorder="1" applyAlignment="1">
      <alignment vertical="justify" wrapText="1"/>
    </xf>
    <xf numFmtId="43" fontId="4" fillId="0" borderId="10" xfId="1" applyFont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43" fontId="4" fillId="0" borderId="10" xfId="1" applyFont="1" applyFill="1" applyBorder="1" applyAlignment="1">
      <alignment vertical="justify" wrapText="1"/>
    </xf>
    <xf numFmtId="0" fontId="3" fillId="0" borderId="14" xfId="0" applyFont="1" applyBorder="1" applyAlignment="1">
      <alignment horizontal="center" vertical="justify" wrapText="1"/>
    </xf>
    <xf numFmtId="43" fontId="3" fillId="0" borderId="14" xfId="1" applyFont="1" applyFill="1" applyBorder="1" applyAlignment="1">
      <alignment vertical="justify" wrapText="1"/>
    </xf>
    <xf numFmtId="0" fontId="4" fillId="0" borderId="43" xfId="0" applyFont="1" applyBorder="1" applyAlignment="1">
      <alignment horizontal="center" vertical="justify"/>
    </xf>
    <xf numFmtId="0" fontId="4" fillId="0" borderId="44" xfId="0" applyFont="1" applyBorder="1" applyAlignment="1">
      <alignment vertical="justify" wrapText="1"/>
    </xf>
    <xf numFmtId="0" fontId="3" fillId="0" borderId="45" xfId="0" applyFont="1" applyBorder="1" applyAlignment="1">
      <alignment vertical="justify"/>
    </xf>
    <xf numFmtId="0" fontId="4" fillId="0" borderId="45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/>
    </xf>
    <xf numFmtId="169" fontId="12" fillId="0" borderId="10" xfId="1" applyNumberFormat="1" applyFont="1" applyBorder="1" applyAlignment="1">
      <alignment horizontal="center"/>
    </xf>
    <xf numFmtId="169" fontId="0" fillId="0" borderId="10" xfId="1" applyNumberFormat="1" applyFont="1" applyBorder="1" applyAlignment="1">
      <alignment horizontal="center"/>
    </xf>
    <xf numFmtId="43" fontId="3" fillId="0" borderId="10" xfId="1" applyFont="1" applyFill="1" applyBorder="1" applyAlignment="1">
      <alignment vertical="justify" wrapText="1"/>
    </xf>
    <xf numFmtId="169" fontId="1" fillId="0" borderId="10" xfId="1" applyNumberFormat="1" applyFont="1" applyBorder="1" applyAlignment="1">
      <alignment horizontal="center"/>
    </xf>
    <xf numFmtId="169" fontId="4" fillId="0" borderId="10" xfId="1" applyNumberFormat="1" applyFont="1" applyFill="1" applyBorder="1" applyAlignment="1">
      <alignment horizontal="center" vertical="justify" wrapText="1"/>
    </xf>
    <xf numFmtId="0" fontId="12" fillId="0" borderId="0" xfId="0" applyFont="1"/>
    <xf numFmtId="43" fontId="3" fillId="0" borderId="10" xfId="1" applyFont="1" applyFill="1" applyBorder="1" applyAlignment="1">
      <alignment vertical="justify"/>
    </xf>
    <xf numFmtId="169" fontId="0" fillId="0" borderId="14" xfId="1" applyNumberFormat="1" applyFont="1" applyBorder="1" applyAlignment="1">
      <alignment horizontal="center"/>
    </xf>
    <xf numFmtId="43" fontId="4" fillId="0" borderId="46" xfId="1" applyFont="1" applyBorder="1" applyAlignment="1">
      <alignment vertical="justify" wrapText="1"/>
    </xf>
    <xf numFmtId="169" fontId="4" fillId="0" borderId="8" xfId="1" applyNumberFormat="1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0" fillId="0" borderId="0" xfId="0" applyFill="1"/>
    <xf numFmtId="0" fontId="0" fillId="0" borderId="30" xfId="0" applyBorder="1"/>
    <xf numFmtId="165" fontId="0" fillId="5" borderId="0" xfId="0" applyNumberFormat="1" applyFill="1"/>
    <xf numFmtId="165" fontId="0" fillId="6" borderId="0" xfId="0" applyNumberFormat="1" applyFill="1"/>
    <xf numFmtId="0" fontId="7" fillId="7" borderId="10" xfId="0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7" fontId="7" fillId="7" borderId="10" xfId="0" applyNumberFormat="1" applyFont="1" applyFill="1" applyBorder="1" applyAlignment="1">
      <alignment horizontal="center" vertical="center" wrapText="1"/>
    </xf>
    <xf numFmtId="165" fontId="0" fillId="7" borderId="0" xfId="0" applyNumberFormat="1" applyFill="1"/>
    <xf numFmtId="0" fontId="8" fillId="7" borderId="10" xfId="0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3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justify" vertical="center" wrapText="1"/>
    </xf>
    <xf numFmtId="0" fontId="8" fillId="7" borderId="10" xfId="0" applyFont="1" applyFill="1" applyBorder="1" applyAlignment="1">
      <alignment horizontal="justify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5" fillId="0" borderId="0" xfId="0" applyFont="1" applyAlignment="1"/>
    <xf numFmtId="2" fontId="0" fillId="0" borderId="10" xfId="0" applyNumberFormat="1" applyBorder="1"/>
    <xf numFmtId="0" fontId="5" fillId="0" borderId="0" xfId="0" applyFont="1" applyBorder="1" applyAlignment="1"/>
    <xf numFmtId="0" fontId="4" fillId="0" borderId="0" xfId="0" applyFont="1" applyAlignment="1"/>
    <xf numFmtId="0" fontId="6" fillId="0" borderId="11" xfId="0" applyFont="1" applyBorder="1" applyAlignment="1">
      <alignment vertical="top" wrapText="1"/>
    </xf>
    <xf numFmtId="0" fontId="7" fillId="0" borderId="4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9" fillId="0" borderId="0" xfId="0" applyFont="1" applyAlignment="1"/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5" fontId="33" fillId="0" borderId="0" xfId="0" applyNumberFormat="1" applyFont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30" xfId="0" applyFill="1" applyBorder="1"/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/>
    </xf>
    <xf numFmtId="0" fontId="0" fillId="0" borderId="21" xfId="0" applyBorder="1"/>
    <xf numFmtId="0" fontId="6" fillId="0" borderId="10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7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5" fontId="6" fillId="0" borderId="7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5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 wrapText="1"/>
    </xf>
    <xf numFmtId="164" fontId="2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 wrapText="1"/>
    </xf>
    <xf numFmtId="0" fontId="28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left" vertical="center" wrapText="1"/>
    </xf>
    <xf numFmtId="49" fontId="3" fillId="3" borderId="34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3" borderId="34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3" borderId="34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3" borderId="39" xfId="0" applyNumberFormat="1" applyFont="1" applyFill="1" applyBorder="1" applyAlignment="1">
      <alignment horizontal="left" vertical="center" wrapText="1"/>
    </xf>
    <xf numFmtId="49" fontId="4" fillId="3" borderId="53" xfId="0" applyNumberFormat="1" applyFont="1" applyFill="1" applyBorder="1" applyAlignment="1">
      <alignment horizontal="left" vertical="center" wrapText="1"/>
    </xf>
    <xf numFmtId="49" fontId="4" fillId="3" borderId="40" xfId="0" applyNumberFormat="1" applyFont="1" applyFill="1" applyBorder="1" applyAlignment="1">
      <alignment horizontal="left" vertical="center" wrapText="1"/>
    </xf>
    <xf numFmtId="0" fontId="15" fillId="0" borderId="71" xfId="0" applyFont="1" applyBorder="1" applyAlignment="1">
      <alignment horizontal="center" wrapText="1"/>
    </xf>
    <xf numFmtId="0" fontId="15" fillId="0" borderId="7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73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77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/&#1056;&#1072;&#1073;&#1086;&#1095;&#1080;&#1081;%20&#1089;&#1090;&#1086;&#1083;/&#1101;&#1082;&#1086;&#1085;&#1086;&#1084;&#1080;&#1089;&#1090;%202/2012&#1075;/&#1089;&#1086;&#1076;.&#1078;.2012&#1075;/&#1089;&#1086;&#1076;.&#1078;/&#1046;&#1080;&#1083;&#1089;&#1077;&#1088;&#1074;&#1080;&#1089;%202013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/&#1056;&#1072;&#1073;&#1086;&#1095;&#1080;&#1081;%20&#1089;&#1090;&#1086;&#1083;/&#1101;&#1082;&#1086;&#1085;&#1086;&#1084;&#1080;&#1089;&#1090;%202/2012&#1075;/&#1089;&#1086;&#1076;.&#1078;.2012&#1075;/&#1089;&#1086;&#1076;.&#1078;/&#1063;&#1077;&#1088;&#1077;&#1084;&#1099;&#1096;,%202013%20&#1089;&#1086;&#1076;.&#107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/&#1056;&#1072;&#1073;&#1086;&#1095;&#1080;&#1081;%20&#1089;&#1090;&#1086;&#1083;/&#1101;&#1082;&#1086;&#1085;&#1086;&#1084;&#1080;&#1089;&#1090;%202/2012&#1075;/&#1089;&#1086;&#1076;.&#1078;.2012&#1075;/&#1089;&#1086;&#1076;.&#1078;/&#1046;&#1050;&#1061;%20&#1058;&#1088;&#1080;&#1092;&#1086;&#1085;&#1086;&#1074;&#1089;&#1082;&#1086;&#1077;,%20&#1089;&#1086;&#1076;.&#1078;%202013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/&#1056;&#1072;&#1073;&#1086;&#1095;&#1080;&#1081;%20&#1089;&#1090;&#1086;&#1083;/&#1101;&#1082;&#1086;&#1085;&#1086;&#1084;&#1080;&#1089;&#1090;%202/2011/&#1089;&#1084;&#1077;&#1090;&#1072;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.после 1999г"/>
      <sheetName val="общ.до 1999г"/>
      <sheetName val="инф.о площ. до 1999г"/>
      <sheetName val="р.п.Пышма"/>
      <sheetName val="изм"/>
      <sheetName val="полубл"/>
      <sheetName val="неблаг.дома"/>
      <sheetName val="благ.дома"/>
      <sheetName val="многэт.дома, благ"/>
      <sheetName val="подр"/>
      <sheetName val="жилфонд2"/>
      <sheetName val="сельэн.обсл.с 01.01.12"/>
      <sheetName val="жилс"/>
      <sheetName val="жилс.с 01.07.2012г"/>
      <sheetName val="жил.полубл"/>
      <sheetName val="жил.небл.дома"/>
      <sheetName val="жил.бл.дома"/>
      <sheetName val="жилс.мн.бл"/>
      <sheetName val="сельэн.с 01.07.2012г"/>
      <sheetName val="сельэн.с 01.01.12"/>
    </sheetNames>
    <sheetDataSet>
      <sheetData sheetId="0"/>
      <sheetData sheetId="1"/>
      <sheetData sheetId="2"/>
      <sheetData sheetId="3" refreshError="1">
        <row r="1885">
          <cell r="K1885">
            <v>15620.499999999998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>
        <row r="2099">
          <cell r="E2099">
            <v>55939.120000000017</v>
          </cell>
        </row>
        <row r="2100">
          <cell r="E2100">
            <v>20539.199999999993</v>
          </cell>
        </row>
        <row r="2101">
          <cell r="E2101">
            <v>6173.800000000002</v>
          </cell>
        </row>
        <row r="2104">
          <cell r="Q2104">
            <v>116</v>
          </cell>
          <cell r="S2104">
            <v>4552.3999999999996</v>
          </cell>
        </row>
        <row r="2105">
          <cell r="Q2105">
            <v>702</v>
          </cell>
          <cell r="S2105">
            <v>28576.800000000007</v>
          </cell>
        </row>
        <row r="2106">
          <cell r="Q2106">
            <v>1111</v>
          </cell>
          <cell r="S2106">
            <v>40572.87000000001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.о площ.помещ.жилого до 1999"/>
      <sheetName val="Лист1"/>
      <sheetName val="Лист4"/>
      <sheetName val="полубл."/>
      <sheetName val="неблаг.дома"/>
      <sheetName val="одн.благ.дома"/>
      <sheetName val="многоэт.дома"/>
      <sheetName val="для коррект"/>
      <sheetName val="полн.список"/>
      <sheetName val="полн.спис"/>
      <sheetName val="с 01.07.13г"/>
      <sheetName val="дог.с 01.01.13г"/>
    </sheetNames>
    <sheetDataSet>
      <sheetData sheetId="0" refreshError="1">
        <row r="345">
          <cell r="L345">
            <v>367.5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>
        <row r="924">
          <cell r="E924">
            <v>11554.200000000006</v>
          </cell>
        </row>
        <row r="925">
          <cell r="E925">
            <v>4568.3999999999996</v>
          </cell>
        </row>
        <row r="926">
          <cell r="E926">
            <v>12049.799999999997</v>
          </cell>
        </row>
        <row r="930">
          <cell r="T930">
            <v>224</v>
          </cell>
          <cell r="AD930">
            <v>5105.7000000000007</v>
          </cell>
        </row>
        <row r="931">
          <cell r="T931">
            <v>382</v>
          </cell>
          <cell r="AD931">
            <v>7905.4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.до 1999г"/>
      <sheetName val="инф.о площ.до 1999г"/>
      <sheetName val="Лист1"/>
      <sheetName val="полубл.дома"/>
      <sheetName val="неблаг.дома"/>
      <sheetName val="благоустр.дома"/>
      <sheetName val="мног.дома, благ."/>
      <sheetName val="коррект"/>
      <sheetName val="Трифон"/>
      <sheetName val="полный список"/>
      <sheetName val="с 01.07.12г"/>
      <sheetName val="с 1.01.12"/>
    </sheetNames>
    <sheetDataSet>
      <sheetData sheetId="0"/>
      <sheetData sheetId="1" refreshError="1">
        <row r="191">
          <cell r="M191">
            <v>2643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58">
          <cell r="F658">
            <v>10762.100000000002</v>
          </cell>
        </row>
        <row r="659">
          <cell r="F659">
            <v>9373.3000000000011</v>
          </cell>
        </row>
        <row r="660">
          <cell r="F660">
            <v>5189.3000000000011</v>
          </cell>
        </row>
        <row r="664">
          <cell r="U664">
            <v>198</v>
          </cell>
          <cell r="AC664">
            <v>4871.8999999999996</v>
          </cell>
        </row>
        <row r="665">
          <cell r="U665">
            <v>369</v>
          </cell>
          <cell r="AC665">
            <v>10346.100000000002</v>
          </cell>
        </row>
      </sheetData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.(2)"/>
      <sheetName val="расч.на техобсл"/>
      <sheetName val="поясн"/>
      <sheetName val="Лист2"/>
      <sheetName val="Лист6"/>
      <sheetName val="5 мес.2011"/>
      <sheetName val="пояснит"/>
      <sheetName val="Лист3"/>
      <sheetName val="Лист4"/>
      <sheetName val="расч. по с.ж"/>
      <sheetName val="Лист8"/>
      <sheetName val="Лист7"/>
      <sheetName val="расч по отоп"/>
      <sheetName val="Лист5"/>
      <sheetName val="Лист9"/>
      <sheetName val="дисп.сл"/>
      <sheetName val="2011 (2)"/>
      <sheetName val="2001 (3)"/>
      <sheetName val="2012"/>
      <sheetName val="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F19">
            <v>33035.200000000004</v>
          </cell>
        </row>
        <row r="20">
          <cell r="F20">
            <v>24268.100000000006</v>
          </cell>
        </row>
        <row r="21">
          <cell r="F21">
            <v>80271.3</v>
          </cell>
        </row>
        <row r="23">
          <cell r="F23">
            <v>137574.6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3"/>
  <sheetViews>
    <sheetView topLeftCell="A34" workbookViewId="0">
      <selection activeCell="J7" sqref="J7"/>
    </sheetView>
  </sheetViews>
  <sheetFormatPr defaultRowHeight="12.75"/>
  <cols>
    <col min="1" max="1" width="32" customWidth="1"/>
    <col min="2" max="2" width="13" customWidth="1"/>
    <col min="3" max="3" width="14.28515625" customWidth="1"/>
    <col min="4" max="4" width="15" customWidth="1"/>
    <col min="5" max="5" width="14.7109375" customWidth="1"/>
    <col min="6" max="6" width="0.140625" customWidth="1"/>
    <col min="7" max="9" width="9.140625" hidden="1" customWidth="1"/>
  </cols>
  <sheetData>
    <row r="1" spans="1:9" ht="15.75">
      <c r="A1" s="54"/>
      <c r="B1" s="55"/>
      <c r="C1" s="55"/>
      <c r="D1" s="55"/>
      <c r="E1" s="55"/>
    </row>
    <row r="2" spans="1:9" ht="15.75">
      <c r="A2" s="436" t="s">
        <v>434</v>
      </c>
      <c r="B2" s="436"/>
      <c r="C2" s="436"/>
      <c r="D2" s="436"/>
      <c r="E2" s="436"/>
      <c r="F2" s="52"/>
      <c r="G2" s="42"/>
      <c r="H2" s="42"/>
      <c r="I2" s="42"/>
    </row>
    <row r="3" spans="1:9" ht="15.75">
      <c r="A3" s="436" t="s">
        <v>480</v>
      </c>
      <c r="B3" s="436"/>
      <c r="C3" s="436"/>
      <c r="D3" s="436"/>
      <c r="E3" s="436"/>
      <c r="F3" s="52"/>
      <c r="G3" s="42"/>
      <c r="H3" s="42"/>
      <c r="I3" s="42"/>
    </row>
    <row r="4" spans="1:9" ht="15.75">
      <c r="A4" s="436" t="s">
        <v>481</v>
      </c>
      <c r="B4" s="436"/>
      <c r="C4" s="436"/>
      <c r="D4" s="436"/>
      <c r="E4" s="436"/>
      <c r="F4" s="52"/>
      <c r="G4" s="42"/>
      <c r="H4" s="42"/>
      <c r="I4" s="42"/>
    </row>
    <row r="5" spans="1:9" ht="15.75">
      <c r="A5" s="436" t="s">
        <v>482</v>
      </c>
      <c r="B5" s="436"/>
      <c r="C5" s="436"/>
      <c r="D5" s="436"/>
      <c r="E5" s="436"/>
      <c r="F5" s="52"/>
      <c r="G5" s="42"/>
      <c r="H5" s="42"/>
      <c r="I5" s="42"/>
    </row>
    <row r="6" spans="1:9" ht="15.75">
      <c r="A6" s="56"/>
      <c r="B6" s="55"/>
      <c r="C6" s="55"/>
      <c r="D6" s="55"/>
      <c r="E6" s="55"/>
      <c r="F6" s="52"/>
      <c r="G6" s="42"/>
      <c r="H6" s="42"/>
      <c r="I6" s="42"/>
    </row>
    <row r="7" spans="1:9" ht="15.75">
      <c r="A7" s="436" t="s">
        <v>483</v>
      </c>
      <c r="B7" s="436"/>
      <c r="C7" s="436"/>
      <c r="D7" s="436"/>
      <c r="E7" s="436"/>
      <c r="F7" s="52"/>
      <c r="G7" s="42"/>
      <c r="H7" s="42"/>
      <c r="I7" s="42"/>
    </row>
    <row r="8" spans="1:9" ht="14.25">
      <c r="A8" s="57"/>
      <c r="B8" s="58"/>
      <c r="C8" s="58"/>
      <c r="D8" s="58"/>
      <c r="E8" s="58"/>
      <c r="F8" s="52"/>
      <c r="G8" s="42"/>
      <c r="H8" s="42"/>
      <c r="I8" s="42"/>
    </row>
    <row r="9" spans="1:9" ht="29.25" customHeight="1">
      <c r="A9" s="437" t="s">
        <v>484</v>
      </c>
      <c r="B9" s="437" t="s">
        <v>485</v>
      </c>
      <c r="C9" s="53" t="s">
        <v>486</v>
      </c>
      <c r="D9" s="437" t="s">
        <v>489</v>
      </c>
      <c r="E9" s="437" t="s">
        <v>458</v>
      </c>
      <c r="F9" s="426"/>
      <c r="G9" s="426"/>
      <c r="H9" s="426"/>
      <c r="I9" s="426"/>
    </row>
    <row r="10" spans="1:9" ht="28.5">
      <c r="A10" s="428"/>
      <c r="B10" s="428"/>
      <c r="C10" s="43" t="s">
        <v>487</v>
      </c>
      <c r="D10" s="428"/>
      <c r="E10" s="428"/>
      <c r="F10" s="426"/>
      <c r="G10" s="426"/>
      <c r="H10" s="426"/>
      <c r="I10" s="426"/>
    </row>
    <row r="11" spans="1:9" ht="48" customHeight="1">
      <c r="A11" s="428"/>
      <c r="B11" s="428"/>
      <c r="C11" s="43" t="s">
        <v>488</v>
      </c>
      <c r="D11" s="43" t="s">
        <v>72</v>
      </c>
      <c r="E11" s="428"/>
      <c r="F11" s="426"/>
      <c r="G11" s="426"/>
      <c r="H11" s="426"/>
      <c r="I11" s="426"/>
    </row>
    <row r="12" spans="1:9" ht="14.25">
      <c r="A12" s="428" t="s">
        <v>490</v>
      </c>
      <c r="B12" s="428"/>
      <c r="C12" s="428"/>
      <c r="D12" s="428"/>
      <c r="E12" s="428"/>
      <c r="F12" s="426"/>
      <c r="G12" s="426"/>
      <c r="H12" s="426"/>
      <c r="I12" s="426"/>
    </row>
    <row r="13" spans="1:9" ht="28.5" customHeight="1">
      <c r="A13" s="434" t="s">
        <v>491</v>
      </c>
      <c r="B13" s="435"/>
      <c r="C13" s="433">
        <f>D13*B13*12/1000</f>
        <v>0</v>
      </c>
      <c r="D13" s="433">
        <v>7.2099999999999997E-2</v>
      </c>
      <c r="E13" s="435"/>
      <c r="F13" s="426"/>
      <c r="G13" s="426"/>
      <c r="H13" s="426"/>
      <c r="I13" s="426"/>
    </row>
    <row r="14" spans="1:9" ht="5.25" customHeight="1">
      <c r="A14" s="434"/>
      <c r="B14" s="435"/>
      <c r="C14" s="433"/>
      <c r="D14" s="433"/>
      <c r="E14" s="435"/>
      <c r="F14" s="426"/>
      <c r="G14" s="426"/>
      <c r="H14" s="426"/>
      <c r="I14" s="426"/>
    </row>
    <row r="15" spans="1:9" ht="47.25" hidden="1" customHeight="1" thickBot="1">
      <c r="A15" s="44" t="s">
        <v>492</v>
      </c>
      <c r="B15" s="45"/>
      <c r="C15" s="46">
        <f>D15*B15*12/1000</f>
        <v>0</v>
      </c>
      <c r="D15" s="46"/>
      <c r="E15" s="45"/>
      <c r="F15" s="426"/>
      <c r="G15" s="426"/>
      <c r="H15" s="426"/>
      <c r="I15" s="426"/>
    </row>
    <row r="16" spans="1:9" ht="33.75" hidden="1" customHeight="1" thickBot="1">
      <c r="A16" s="44" t="s">
        <v>493</v>
      </c>
      <c r="B16" s="45"/>
      <c r="C16" s="46">
        <f>D16*B16*12/1000</f>
        <v>0</v>
      </c>
      <c r="D16" s="46"/>
      <c r="E16" s="45"/>
      <c r="F16" s="426"/>
      <c r="G16" s="426"/>
      <c r="H16" s="426"/>
      <c r="I16" s="426"/>
    </row>
    <row r="17" spans="1:9" ht="31.5" customHeight="1">
      <c r="A17" s="44" t="s">
        <v>494</v>
      </c>
      <c r="B17" s="45"/>
      <c r="C17" s="46">
        <f>D17*B17*12/1000</f>
        <v>0</v>
      </c>
      <c r="D17" s="46">
        <v>9.4399999999999998E-2</v>
      </c>
      <c r="E17" s="45"/>
      <c r="F17" s="426"/>
      <c r="G17" s="426"/>
      <c r="H17" s="426"/>
      <c r="I17" s="426"/>
    </row>
    <row r="18" spans="1:9" ht="30.75" customHeight="1">
      <c r="A18" s="44" t="s">
        <v>495</v>
      </c>
      <c r="B18" s="45"/>
      <c r="C18" s="46">
        <f>D18*B18*12/1000</f>
        <v>0</v>
      </c>
      <c r="D18" s="46">
        <v>1.15E-2</v>
      </c>
      <c r="E18" s="45"/>
      <c r="F18" s="426"/>
      <c r="G18" s="426"/>
      <c r="H18" s="426"/>
      <c r="I18" s="426"/>
    </row>
    <row r="19" spans="1:9" ht="31.5" customHeight="1">
      <c r="A19" s="44" t="s">
        <v>496</v>
      </c>
      <c r="B19" s="45"/>
      <c r="C19" s="46">
        <f>D19*B19*12/1000</f>
        <v>0</v>
      </c>
      <c r="D19" s="46">
        <v>9.4399999999999998E-2</v>
      </c>
      <c r="E19" s="45"/>
      <c r="F19" s="426"/>
      <c r="G19" s="426"/>
      <c r="H19" s="426"/>
      <c r="I19" s="426"/>
    </row>
    <row r="20" spans="1:9" ht="63.75" hidden="1" customHeight="1" thickBot="1">
      <c r="A20" s="44" t="s">
        <v>497</v>
      </c>
      <c r="B20" s="45"/>
      <c r="C20" s="46"/>
      <c r="D20" s="46"/>
      <c r="E20" s="45"/>
      <c r="F20" s="426"/>
      <c r="G20" s="426"/>
      <c r="H20" s="426"/>
      <c r="I20" s="426"/>
    </row>
    <row r="21" spans="1:9" ht="28.5" hidden="1" customHeight="1" thickBot="1">
      <c r="A21" s="428" t="s">
        <v>498</v>
      </c>
      <c r="B21" s="428"/>
      <c r="C21" s="428"/>
      <c r="D21" s="428"/>
      <c r="E21" s="428"/>
      <c r="F21" s="426"/>
      <c r="G21" s="426"/>
      <c r="H21" s="426"/>
      <c r="I21" s="426"/>
    </row>
    <row r="22" spans="1:9" ht="45" hidden="1" customHeight="1" thickBot="1">
      <c r="A22" s="44" t="s">
        <v>499</v>
      </c>
      <c r="B22" s="43"/>
      <c r="C22" s="46"/>
      <c r="D22" s="46"/>
      <c r="E22" s="47"/>
      <c r="F22" s="426"/>
      <c r="G22" s="426"/>
      <c r="H22" s="426"/>
      <c r="I22" s="426"/>
    </row>
    <row r="23" spans="1:9" ht="15" hidden="1" customHeight="1">
      <c r="A23" s="44" t="s">
        <v>500</v>
      </c>
      <c r="B23" s="431"/>
      <c r="C23" s="432"/>
      <c r="D23" s="433"/>
      <c r="E23" s="428"/>
      <c r="F23" s="426"/>
      <c r="G23" s="426"/>
      <c r="H23" s="426"/>
      <c r="I23" s="426"/>
    </row>
    <row r="24" spans="1:9" ht="14.25" hidden="1" customHeight="1" thickBot="1">
      <c r="A24" s="44" t="s">
        <v>501</v>
      </c>
      <c r="B24" s="431"/>
      <c r="C24" s="432"/>
      <c r="D24" s="433"/>
      <c r="E24" s="428"/>
      <c r="F24" s="426"/>
      <c r="G24" s="426"/>
      <c r="H24" s="426"/>
      <c r="I24" s="426"/>
    </row>
    <row r="25" spans="1:9" ht="45" hidden="1" customHeight="1" thickBot="1">
      <c r="A25" s="44" t="s">
        <v>502</v>
      </c>
      <c r="B25" s="43"/>
      <c r="C25" s="46"/>
      <c r="D25" s="46"/>
      <c r="E25" s="43"/>
      <c r="F25" s="426"/>
      <c r="G25" s="426"/>
      <c r="H25" s="426"/>
      <c r="I25" s="426"/>
    </row>
    <row r="26" spans="1:9" ht="46.5" hidden="1" customHeight="1" thickBot="1">
      <c r="A26" s="44" t="s">
        <v>503</v>
      </c>
      <c r="B26" s="43"/>
      <c r="C26" s="46"/>
      <c r="D26" s="46"/>
      <c r="E26" s="43"/>
      <c r="F26" s="426"/>
      <c r="G26" s="426"/>
      <c r="H26" s="426"/>
      <c r="I26" s="426"/>
    </row>
    <row r="27" spans="1:9" ht="32.25" hidden="1" customHeight="1" thickBot="1">
      <c r="A27" s="44" t="s">
        <v>504</v>
      </c>
      <c r="B27" s="43"/>
      <c r="C27" s="46"/>
      <c r="D27" s="46"/>
      <c r="E27" s="43"/>
      <c r="F27" s="426"/>
      <c r="G27" s="426"/>
      <c r="H27" s="426"/>
      <c r="I27" s="426"/>
    </row>
    <row r="28" spans="1:9" ht="46.5" hidden="1" customHeight="1" thickBot="1">
      <c r="A28" s="44" t="s">
        <v>505</v>
      </c>
      <c r="B28" s="43"/>
      <c r="C28" s="46"/>
      <c r="D28" s="46"/>
      <c r="E28" s="43"/>
      <c r="F28" s="426"/>
      <c r="G28" s="426"/>
      <c r="H28" s="426"/>
      <c r="I28" s="426"/>
    </row>
    <row r="29" spans="1:9" ht="76.5" hidden="1" customHeight="1" thickBot="1">
      <c r="A29" s="44" t="s">
        <v>506</v>
      </c>
      <c r="B29" s="43"/>
      <c r="C29" s="46"/>
      <c r="D29" s="46"/>
      <c r="E29" s="43"/>
      <c r="F29" s="426"/>
      <c r="G29" s="426"/>
      <c r="H29" s="426"/>
      <c r="I29" s="426"/>
    </row>
    <row r="30" spans="1:9" ht="32.25" hidden="1" customHeight="1" thickBot="1">
      <c r="A30" s="44" t="s">
        <v>507</v>
      </c>
      <c r="B30" s="43"/>
      <c r="C30" s="46"/>
      <c r="D30" s="46"/>
      <c r="E30" s="43"/>
      <c r="F30" s="426"/>
      <c r="G30" s="426"/>
      <c r="H30" s="426"/>
      <c r="I30" s="426"/>
    </row>
    <row r="31" spans="1:9" ht="14.25">
      <c r="A31" s="428" t="s">
        <v>508</v>
      </c>
      <c r="B31" s="428"/>
      <c r="C31" s="428"/>
      <c r="D31" s="428"/>
      <c r="E31" s="428"/>
      <c r="F31" s="426"/>
      <c r="G31" s="426"/>
      <c r="H31" s="426"/>
      <c r="I31" s="426"/>
    </row>
    <row r="32" spans="1:9" ht="30" customHeight="1">
      <c r="A32" s="44" t="s">
        <v>509</v>
      </c>
      <c r="B32" s="43"/>
      <c r="C32" s="46">
        <f t="shared" ref="C32:C40" si="0">D32*B32*12/1000</f>
        <v>0</v>
      </c>
      <c r="D32" s="46">
        <v>6.1999999999999998E-3</v>
      </c>
      <c r="E32" s="48"/>
      <c r="F32" s="426"/>
      <c r="G32" s="426"/>
      <c r="H32" s="426"/>
      <c r="I32" s="426"/>
    </row>
    <row r="33" spans="1:9" ht="76.5" hidden="1" customHeight="1" thickBot="1">
      <c r="A33" s="44" t="s">
        <v>510</v>
      </c>
      <c r="B33" s="43"/>
      <c r="C33" s="46">
        <f t="shared" si="0"/>
        <v>0</v>
      </c>
      <c r="D33" s="46"/>
      <c r="E33" s="46"/>
      <c r="F33" s="426"/>
      <c r="G33" s="426"/>
      <c r="H33" s="426"/>
      <c r="I33" s="426"/>
    </row>
    <row r="34" spans="1:9" ht="30.75" customHeight="1">
      <c r="A34" s="44" t="s">
        <v>511</v>
      </c>
      <c r="B34" s="43"/>
      <c r="C34" s="46">
        <f t="shared" si="0"/>
        <v>0</v>
      </c>
      <c r="D34" s="46">
        <v>1.1000000000000001E-3</v>
      </c>
      <c r="E34" s="46"/>
      <c r="F34" s="426"/>
      <c r="G34" s="426"/>
      <c r="H34" s="426"/>
      <c r="I34" s="426"/>
    </row>
    <row r="35" spans="1:9" ht="29.25" customHeight="1">
      <c r="A35" s="44" t="s">
        <v>512</v>
      </c>
      <c r="B35" s="43"/>
      <c r="C35" s="46">
        <f t="shared" si="0"/>
        <v>0</v>
      </c>
      <c r="D35" s="46">
        <v>4.19E-2</v>
      </c>
      <c r="E35" s="46"/>
      <c r="F35" s="426"/>
      <c r="G35" s="426"/>
      <c r="H35" s="426"/>
      <c r="I35" s="426"/>
    </row>
    <row r="36" spans="1:9" ht="61.5" customHeight="1">
      <c r="A36" s="44" t="s">
        <v>513</v>
      </c>
      <c r="B36" s="43"/>
      <c r="C36" s="46">
        <f t="shared" si="0"/>
        <v>0</v>
      </c>
      <c r="D36" s="46">
        <v>5.8999999999999999E-3</v>
      </c>
      <c r="E36" s="46"/>
      <c r="F36" s="426"/>
      <c r="G36" s="426"/>
      <c r="H36" s="426"/>
      <c r="I36" s="426"/>
    </row>
    <row r="37" spans="1:9" ht="92.25" hidden="1" customHeight="1" thickBot="1">
      <c r="A37" s="44" t="s">
        <v>514</v>
      </c>
      <c r="B37" s="43"/>
      <c r="C37" s="46">
        <f t="shared" si="0"/>
        <v>0</v>
      </c>
      <c r="D37" s="46"/>
      <c r="E37" s="46"/>
      <c r="F37" s="426"/>
      <c r="G37" s="426"/>
      <c r="H37" s="426"/>
      <c r="I37" s="426"/>
    </row>
    <row r="38" spans="1:9" ht="46.5" customHeight="1">
      <c r="A38" s="44" t="s">
        <v>515</v>
      </c>
      <c r="B38" s="43"/>
      <c r="C38" s="46">
        <f t="shared" si="0"/>
        <v>0</v>
      </c>
      <c r="D38" s="46">
        <v>9.4399999999999998E-2</v>
      </c>
      <c r="E38" s="46"/>
      <c r="F38" s="426"/>
      <c r="G38" s="426"/>
      <c r="H38" s="426"/>
      <c r="I38" s="426"/>
    </row>
    <row r="39" spans="1:9" ht="75">
      <c r="A39" s="44" t="s">
        <v>516</v>
      </c>
      <c r="B39" s="43"/>
      <c r="C39" s="46">
        <f t="shared" si="0"/>
        <v>0</v>
      </c>
      <c r="D39" s="46">
        <v>1.1000000000000001E-3</v>
      </c>
      <c r="E39" s="46"/>
      <c r="F39" s="426"/>
      <c r="G39" s="426"/>
      <c r="H39" s="426"/>
      <c r="I39" s="426"/>
    </row>
    <row r="40" spans="1:9" ht="28.5" customHeight="1">
      <c r="A40" s="44" t="s">
        <v>517</v>
      </c>
      <c r="B40" s="43"/>
      <c r="C40" s="46">
        <f t="shared" si="0"/>
        <v>0</v>
      </c>
      <c r="D40" s="46">
        <v>0.13220000000000001</v>
      </c>
      <c r="E40" s="46"/>
      <c r="F40" s="426"/>
      <c r="G40" s="426"/>
      <c r="H40" s="426"/>
      <c r="I40" s="426"/>
    </row>
    <row r="41" spans="1:9" ht="14.25">
      <c r="A41" s="428" t="s">
        <v>518</v>
      </c>
      <c r="B41" s="428"/>
      <c r="C41" s="428"/>
      <c r="D41" s="428"/>
      <c r="E41" s="428"/>
      <c r="F41" s="426"/>
      <c r="G41" s="426"/>
      <c r="H41" s="426"/>
      <c r="I41" s="426"/>
    </row>
    <row r="42" spans="1:9" ht="30.75" hidden="1" customHeight="1" thickBot="1">
      <c r="A42" s="44" t="s">
        <v>519</v>
      </c>
      <c r="B42" s="43"/>
      <c r="C42" s="46"/>
      <c r="D42" s="46"/>
      <c r="E42" s="47"/>
      <c r="F42" s="426"/>
      <c r="G42" s="426"/>
      <c r="H42" s="426"/>
      <c r="I42" s="426"/>
    </row>
    <row r="43" spans="1:9" ht="63" hidden="1" customHeight="1" thickBot="1">
      <c r="A43" s="44" t="s">
        <v>520</v>
      </c>
      <c r="B43" s="43"/>
      <c r="C43" s="46"/>
      <c r="D43" s="46"/>
      <c r="E43" s="43"/>
      <c r="F43" s="426"/>
      <c r="G43" s="426"/>
      <c r="H43" s="426"/>
      <c r="I43" s="426"/>
    </row>
    <row r="44" spans="1:9" ht="58.5" hidden="1" customHeight="1" thickBot="1">
      <c r="A44" s="44" t="s">
        <v>521</v>
      </c>
      <c r="B44" s="43"/>
      <c r="C44" s="46"/>
      <c r="D44" s="46"/>
      <c r="E44" s="43"/>
      <c r="F44" s="426"/>
      <c r="G44" s="426"/>
      <c r="H44" s="426"/>
      <c r="I44" s="426"/>
    </row>
    <row r="45" spans="1:9" ht="17.25" customHeight="1">
      <c r="A45" s="44" t="s">
        <v>522</v>
      </c>
      <c r="B45" s="43"/>
      <c r="C45" s="46">
        <f>D45*B45*12/1000</f>
        <v>0</v>
      </c>
      <c r="D45" s="46">
        <v>1.15E-2</v>
      </c>
      <c r="E45" s="43"/>
      <c r="F45" s="426"/>
      <c r="G45" s="426"/>
      <c r="H45" s="426"/>
      <c r="I45" s="426"/>
    </row>
    <row r="46" spans="1:9" ht="63.75" hidden="1" customHeight="1" thickBot="1">
      <c r="A46" s="44" t="s">
        <v>523</v>
      </c>
      <c r="B46" s="43"/>
      <c r="C46" s="46"/>
      <c r="D46" s="46"/>
      <c r="E46" s="43"/>
      <c r="F46" s="426"/>
      <c r="G46" s="426"/>
      <c r="H46" s="426"/>
      <c r="I46" s="426"/>
    </row>
    <row r="47" spans="1:9" ht="14.25">
      <c r="A47" s="428" t="s">
        <v>524</v>
      </c>
      <c r="B47" s="428"/>
      <c r="C47" s="428"/>
      <c r="D47" s="428"/>
      <c r="E47" s="428"/>
      <c r="F47" s="426"/>
      <c r="G47" s="426"/>
      <c r="H47" s="426"/>
      <c r="I47" s="426"/>
    </row>
    <row r="48" spans="1:9" ht="47.25" hidden="1" customHeight="1" thickBot="1">
      <c r="A48" s="44" t="s">
        <v>525</v>
      </c>
      <c r="B48" s="43"/>
      <c r="C48" s="46"/>
      <c r="D48" s="46"/>
      <c r="E48" s="47"/>
      <c r="F48" s="426"/>
      <c r="G48" s="426"/>
      <c r="H48" s="426"/>
      <c r="I48" s="426"/>
    </row>
    <row r="49" spans="1:9" ht="31.5" customHeight="1">
      <c r="A49" s="44" t="s">
        <v>526</v>
      </c>
      <c r="B49" s="43"/>
      <c r="C49" s="46">
        <f>D49*B49*12/1000</f>
        <v>0</v>
      </c>
      <c r="D49" s="46">
        <v>1.5599999999999999E-2</v>
      </c>
      <c r="E49" s="43"/>
      <c r="F49" s="426"/>
      <c r="G49" s="426"/>
      <c r="H49" s="426"/>
      <c r="I49" s="426"/>
    </row>
    <row r="50" spans="1:9" ht="17.25" hidden="1" customHeight="1" thickBot="1">
      <c r="A50" s="44" t="s">
        <v>527</v>
      </c>
      <c r="B50" s="43"/>
      <c r="C50" s="46"/>
      <c r="D50" s="46"/>
      <c r="E50" s="43"/>
      <c r="F50" s="426"/>
      <c r="G50" s="426"/>
      <c r="H50" s="426"/>
      <c r="I50" s="426"/>
    </row>
    <row r="51" spans="1:9" ht="19.5" hidden="1" customHeight="1" thickBot="1">
      <c r="A51" s="44" t="s">
        <v>528</v>
      </c>
      <c r="B51" s="43"/>
      <c r="C51" s="46"/>
      <c r="D51" s="46"/>
      <c r="E51" s="43"/>
      <c r="F51" s="426"/>
      <c r="G51" s="426"/>
      <c r="H51" s="426"/>
      <c r="I51" s="426"/>
    </row>
    <row r="52" spans="1:9" ht="14.25" hidden="1">
      <c r="A52" s="428" t="s">
        <v>529</v>
      </c>
      <c r="B52" s="428"/>
      <c r="C52" s="428"/>
      <c r="D52" s="428"/>
      <c r="E52" s="428"/>
      <c r="F52" s="426"/>
      <c r="G52" s="426"/>
      <c r="H52" s="426"/>
      <c r="I52" s="426"/>
    </row>
    <row r="53" spans="1:9" ht="63" hidden="1" customHeight="1" thickBot="1">
      <c r="A53" s="44" t="s">
        <v>530</v>
      </c>
      <c r="B53" s="43"/>
      <c r="C53" s="46"/>
      <c r="D53" s="46"/>
      <c r="E53" s="43"/>
      <c r="F53" s="426"/>
      <c r="G53" s="426"/>
      <c r="H53" s="426"/>
      <c r="I53" s="426"/>
    </row>
    <row r="54" spans="1:9" ht="14.25">
      <c r="A54" s="428" t="s">
        <v>531</v>
      </c>
      <c r="B54" s="428"/>
      <c r="C54" s="428"/>
      <c r="D54" s="428"/>
      <c r="E54" s="428"/>
      <c r="F54" s="426"/>
      <c r="G54" s="426"/>
      <c r="H54" s="426"/>
      <c r="I54" s="426"/>
    </row>
    <row r="55" spans="1:9" ht="18" customHeight="1">
      <c r="A55" s="44" t="s">
        <v>532</v>
      </c>
      <c r="B55" s="43"/>
      <c r="C55" s="46">
        <f t="shared" ref="C55:C67" si="1">D55*B55*12/1000</f>
        <v>0</v>
      </c>
      <c r="D55" s="46">
        <v>4.19E-2</v>
      </c>
      <c r="E55" s="47"/>
      <c r="F55" s="426"/>
      <c r="G55" s="426"/>
      <c r="H55" s="426"/>
      <c r="I55" s="426"/>
    </row>
    <row r="56" spans="1:9" ht="48.75" hidden="1" customHeight="1" thickBot="1">
      <c r="A56" s="44" t="s">
        <v>533</v>
      </c>
      <c r="B56" s="47"/>
      <c r="C56" s="46">
        <f t="shared" si="1"/>
        <v>0</v>
      </c>
      <c r="D56" s="46"/>
      <c r="E56" s="47"/>
      <c r="F56" s="426"/>
      <c r="G56" s="426"/>
      <c r="H56" s="426"/>
      <c r="I56" s="426"/>
    </row>
    <row r="57" spans="1:9" ht="18" hidden="1" customHeight="1" thickBot="1">
      <c r="A57" s="44" t="s">
        <v>534</v>
      </c>
      <c r="B57" s="43"/>
      <c r="C57" s="46">
        <f t="shared" si="1"/>
        <v>0</v>
      </c>
      <c r="D57" s="46"/>
      <c r="E57" s="43"/>
      <c r="F57" s="426"/>
      <c r="G57" s="426"/>
      <c r="H57" s="426"/>
      <c r="I57" s="426"/>
    </row>
    <row r="58" spans="1:9" ht="30" customHeight="1">
      <c r="A58" s="44" t="s">
        <v>535</v>
      </c>
      <c r="B58" s="43"/>
      <c r="C58" s="46">
        <f t="shared" si="1"/>
        <v>0</v>
      </c>
      <c r="D58" s="46">
        <v>1.1000000000000001E-3</v>
      </c>
      <c r="E58" s="43"/>
      <c r="F58" s="426"/>
      <c r="G58" s="426"/>
      <c r="H58" s="426"/>
      <c r="I58" s="426"/>
    </row>
    <row r="59" spans="1:9" ht="60" hidden="1" customHeight="1" thickBot="1">
      <c r="A59" s="44" t="s">
        <v>536</v>
      </c>
      <c r="B59" s="43"/>
      <c r="C59" s="46">
        <f t="shared" si="1"/>
        <v>0</v>
      </c>
      <c r="D59" s="46"/>
      <c r="E59" s="43"/>
      <c r="F59" s="426"/>
      <c r="G59" s="426"/>
      <c r="H59" s="426"/>
      <c r="I59" s="426"/>
    </row>
    <row r="60" spans="1:9" ht="30" customHeight="1">
      <c r="A60" s="44" t="s">
        <v>537</v>
      </c>
      <c r="B60" s="43"/>
      <c r="C60" s="46">
        <f t="shared" si="1"/>
        <v>0</v>
      </c>
      <c r="D60" s="46">
        <v>3.0000000000000001E-3</v>
      </c>
      <c r="E60" s="43"/>
      <c r="F60" s="426"/>
      <c r="G60" s="426"/>
      <c r="H60" s="426"/>
      <c r="I60" s="426"/>
    </row>
    <row r="61" spans="1:9" ht="46.5" customHeight="1">
      <c r="A61" s="44" t="s">
        <v>538</v>
      </c>
      <c r="B61" s="43"/>
      <c r="C61" s="46">
        <f t="shared" si="1"/>
        <v>0</v>
      </c>
      <c r="D61" s="46">
        <v>4.7999999999999996E-3</v>
      </c>
      <c r="E61" s="43"/>
      <c r="F61" s="426"/>
      <c r="G61" s="426"/>
      <c r="H61" s="426"/>
      <c r="I61" s="426"/>
    </row>
    <row r="62" spans="1:9" ht="31.5" hidden="1" customHeight="1" thickBot="1">
      <c r="A62" s="44" t="s">
        <v>539</v>
      </c>
      <c r="B62" s="43"/>
      <c r="C62" s="46">
        <f t="shared" si="1"/>
        <v>0</v>
      </c>
      <c r="D62" s="46"/>
      <c r="E62" s="43"/>
      <c r="F62" s="426"/>
      <c r="G62" s="426"/>
      <c r="H62" s="426"/>
      <c r="I62" s="426"/>
    </row>
    <row r="63" spans="1:9" ht="31.5" customHeight="1">
      <c r="A63" s="44" t="s">
        <v>0</v>
      </c>
      <c r="B63" s="43"/>
      <c r="C63" s="46">
        <f t="shared" si="1"/>
        <v>0</v>
      </c>
      <c r="D63" s="46">
        <v>5.8999999999999999E-3</v>
      </c>
      <c r="E63" s="43"/>
      <c r="F63" s="426"/>
      <c r="G63" s="426"/>
      <c r="H63" s="426"/>
      <c r="I63" s="426"/>
    </row>
    <row r="64" spans="1:9" ht="45" customHeight="1">
      <c r="A64" s="44" t="s">
        <v>1</v>
      </c>
      <c r="B64" s="43"/>
      <c r="C64" s="46">
        <f t="shared" si="1"/>
        <v>0</v>
      </c>
      <c r="D64" s="46">
        <v>1.8E-3</v>
      </c>
      <c r="E64" s="43"/>
      <c r="F64" s="426"/>
      <c r="G64" s="426"/>
      <c r="H64" s="426"/>
      <c r="I64" s="426"/>
    </row>
    <row r="65" spans="1:9" ht="30" customHeight="1">
      <c r="A65" s="44" t="s">
        <v>2</v>
      </c>
      <c r="B65" s="43"/>
      <c r="C65" s="46">
        <f t="shared" si="1"/>
        <v>0</v>
      </c>
      <c r="D65" s="46">
        <v>1.78E-2</v>
      </c>
      <c r="E65" s="43"/>
      <c r="F65" s="426"/>
      <c r="G65" s="426"/>
      <c r="H65" s="426"/>
      <c r="I65" s="426"/>
    </row>
    <row r="66" spans="1:9" ht="31.5" customHeight="1">
      <c r="A66" s="44" t="s">
        <v>3</v>
      </c>
      <c r="B66" s="43"/>
      <c r="C66" s="46">
        <f t="shared" si="1"/>
        <v>0</v>
      </c>
      <c r="D66" s="46">
        <v>5.8999999999999999E-3</v>
      </c>
      <c r="E66" s="43"/>
      <c r="F66" s="426"/>
      <c r="G66" s="426"/>
      <c r="H66" s="426"/>
      <c r="I66" s="426"/>
    </row>
    <row r="67" spans="1:9" ht="30" customHeight="1">
      <c r="A67" s="44" t="s">
        <v>4</v>
      </c>
      <c r="B67" s="43"/>
      <c r="C67" s="46">
        <f t="shared" si="1"/>
        <v>0</v>
      </c>
      <c r="D67" s="46">
        <v>5.0000000000000001E-4</v>
      </c>
      <c r="E67" s="43"/>
      <c r="F67" s="426"/>
      <c r="G67" s="426"/>
      <c r="H67" s="426"/>
      <c r="I67" s="426"/>
    </row>
    <row r="68" spans="1:9" ht="14.25">
      <c r="A68" s="428" t="s">
        <v>5</v>
      </c>
      <c r="B68" s="428"/>
      <c r="C68" s="428"/>
      <c r="D68" s="428"/>
      <c r="E68" s="428"/>
      <c r="F68" s="426"/>
      <c r="G68" s="426"/>
      <c r="H68" s="426"/>
      <c r="I68" s="426"/>
    </row>
    <row r="69" spans="1:9" ht="43.5" customHeight="1">
      <c r="A69" s="44" t="s">
        <v>6</v>
      </c>
      <c r="B69" s="43"/>
      <c r="C69" s="46">
        <f>D69*B69*12/1000</f>
        <v>0</v>
      </c>
      <c r="D69" s="46">
        <v>0.12</v>
      </c>
      <c r="E69" s="48"/>
      <c r="F69" s="426"/>
      <c r="G69" s="426"/>
      <c r="H69" s="426"/>
      <c r="I69" s="426"/>
    </row>
    <row r="70" spans="1:9" ht="31.5" customHeight="1">
      <c r="A70" s="44" t="s">
        <v>7</v>
      </c>
      <c r="B70" s="43"/>
      <c r="C70" s="46">
        <f>D70*B70*12/1000</f>
        <v>0</v>
      </c>
      <c r="D70" s="46">
        <v>3.5000000000000001E-3</v>
      </c>
      <c r="E70" s="46"/>
      <c r="F70" s="426"/>
      <c r="G70" s="426"/>
      <c r="H70" s="426"/>
      <c r="I70" s="426"/>
    </row>
    <row r="71" spans="1:9" ht="29.25" customHeight="1">
      <c r="A71" s="44" t="s">
        <v>8</v>
      </c>
      <c r="B71" s="43"/>
      <c r="C71" s="46">
        <f>D71*B71*12/1000</f>
        <v>0</v>
      </c>
      <c r="D71" s="46">
        <v>0.12</v>
      </c>
      <c r="E71" s="46"/>
      <c r="F71" s="426"/>
      <c r="G71" s="426"/>
      <c r="H71" s="426"/>
      <c r="I71" s="426"/>
    </row>
    <row r="72" spans="1:9" ht="30.75" hidden="1" customHeight="1" thickBot="1">
      <c r="A72" s="44" t="s">
        <v>9</v>
      </c>
      <c r="B72" s="43"/>
      <c r="C72" s="46">
        <f>D72*B72*12/1000</f>
        <v>0</v>
      </c>
      <c r="D72" s="46"/>
      <c r="E72" s="46"/>
      <c r="F72" s="426"/>
      <c r="G72" s="426"/>
      <c r="H72" s="426"/>
      <c r="I72" s="426"/>
    </row>
    <row r="73" spans="1:9" ht="30" customHeight="1">
      <c r="A73" s="44" t="s">
        <v>10</v>
      </c>
      <c r="B73" s="43"/>
      <c r="C73" s="46">
        <f>D73*B73*12/1000</f>
        <v>0</v>
      </c>
      <c r="D73" s="46">
        <v>1.1000000000000001E-3</v>
      </c>
      <c r="E73" s="46"/>
      <c r="F73" s="426"/>
      <c r="G73" s="426"/>
      <c r="H73" s="426"/>
      <c r="I73" s="426"/>
    </row>
    <row r="74" spans="1:9" ht="29.25" hidden="1" customHeight="1" thickBot="1">
      <c r="A74" s="44" t="s">
        <v>11</v>
      </c>
      <c r="B74" s="43"/>
      <c r="C74" s="46"/>
      <c r="D74" s="46"/>
      <c r="E74" s="46"/>
      <c r="F74" s="426"/>
      <c r="G74" s="426"/>
      <c r="H74" s="426"/>
      <c r="I74" s="426"/>
    </row>
    <row r="75" spans="1:9" ht="14.25">
      <c r="A75" s="428" t="s">
        <v>12</v>
      </c>
      <c r="B75" s="428"/>
      <c r="C75" s="428"/>
      <c r="D75" s="428"/>
      <c r="E75" s="428"/>
      <c r="F75" s="426"/>
      <c r="G75" s="426"/>
      <c r="H75" s="426"/>
      <c r="I75" s="426"/>
    </row>
    <row r="76" spans="1:9" ht="30" hidden="1" customHeight="1" thickBot="1">
      <c r="A76" s="44" t="s">
        <v>13</v>
      </c>
      <c r="B76" s="43"/>
      <c r="C76" s="46"/>
      <c r="D76" s="46"/>
      <c r="E76" s="47"/>
      <c r="F76" s="426"/>
      <c r="G76" s="426"/>
      <c r="H76" s="426"/>
      <c r="I76" s="426"/>
    </row>
    <row r="77" spans="1:9" ht="18.75" customHeight="1">
      <c r="A77" s="44" t="s">
        <v>14</v>
      </c>
      <c r="B77" s="43"/>
      <c r="C77" s="46">
        <f>D77*B77*12/1000</f>
        <v>0</v>
      </c>
      <c r="D77" s="46">
        <v>1.1000000000000001E-3</v>
      </c>
      <c r="E77" s="43"/>
      <c r="F77" s="426"/>
      <c r="G77" s="426"/>
      <c r="H77" s="426"/>
      <c r="I77" s="426"/>
    </row>
    <row r="78" spans="1:9" ht="29.25" hidden="1" customHeight="1" thickBot="1">
      <c r="A78" s="44" t="s">
        <v>15</v>
      </c>
      <c r="B78" s="43"/>
      <c r="C78" s="46"/>
      <c r="D78" s="46"/>
      <c r="E78" s="43"/>
      <c r="F78" s="426"/>
      <c r="G78" s="426"/>
      <c r="H78" s="426"/>
      <c r="I78" s="426"/>
    </row>
    <row r="79" spans="1:9" ht="22.5" hidden="1" customHeight="1" thickBot="1">
      <c r="A79" s="44" t="s">
        <v>16</v>
      </c>
      <c r="B79" s="43"/>
      <c r="C79" s="46"/>
      <c r="D79" s="46"/>
      <c r="E79" s="43"/>
      <c r="F79" s="426"/>
      <c r="G79" s="426"/>
      <c r="H79" s="426"/>
      <c r="I79" s="426"/>
    </row>
    <row r="80" spans="1:9" ht="14.25">
      <c r="A80" s="428" t="s">
        <v>17</v>
      </c>
      <c r="B80" s="428"/>
      <c r="C80" s="428"/>
      <c r="D80" s="428"/>
      <c r="E80" s="428"/>
      <c r="F80" s="426"/>
      <c r="G80" s="426"/>
      <c r="H80" s="426"/>
      <c r="I80" s="426"/>
    </row>
    <row r="81" spans="1:9" ht="31.5" customHeight="1">
      <c r="A81" s="44" t="s">
        <v>18</v>
      </c>
      <c r="B81" s="43"/>
      <c r="C81" s="46">
        <f>D81*B81*12/1000</f>
        <v>0</v>
      </c>
      <c r="D81" s="46">
        <v>1E-3</v>
      </c>
      <c r="E81" s="47"/>
      <c r="F81" s="426"/>
      <c r="G81" s="426"/>
      <c r="H81" s="426"/>
      <c r="I81" s="426"/>
    </row>
    <row r="82" spans="1:9" ht="48" customHeight="1">
      <c r="A82" s="44" t="s">
        <v>19</v>
      </c>
      <c r="B82" s="43"/>
      <c r="C82" s="46">
        <f>D82*B82*12/1000</f>
        <v>0</v>
      </c>
      <c r="D82" s="46">
        <v>2.64E-2</v>
      </c>
      <c r="E82" s="43"/>
      <c r="F82" s="426"/>
      <c r="G82" s="426"/>
      <c r="H82" s="426"/>
      <c r="I82" s="426"/>
    </row>
    <row r="83" spans="1:9" ht="45.75" customHeight="1">
      <c r="A83" s="44" t="s">
        <v>20</v>
      </c>
      <c r="B83" s="43"/>
      <c r="C83" s="46">
        <f>D83*B83*12/1000</f>
        <v>0</v>
      </c>
      <c r="D83" s="46">
        <v>7.7600000000000002E-2</v>
      </c>
      <c r="E83" s="43"/>
      <c r="F83" s="426"/>
      <c r="G83" s="426"/>
      <c r="H83" s="426"/>
      <c r="I83" s="426"/>
    </row>
    <row r="84" spans="1:9" ht="14.25" hidden="1">
      <c r="A84" s="428" t="s">
        <v>21</v>
      </c>
      <c r="B84" s="428"/>
      <c r="C84" s="428"/>
      <c r="D84" s="428"/>
      <c r="E84" s="428"/>
      <c r="F84" s="428"/>
      <c r="G84" s="426"/>
      <c r="H84" s="426"/>
      <c r="I84" s="426"/>
    </row>
    <row r="85" spans="1:9" ht="30.75" hidden="1" customHeight="1" thickBot="1">
      <c r="A85" s="44" t="s">
        <v>22</v>
      </c>
      <c r="B85" s="43"/>
      <c r="C85" s="46"/>
      <c r="D85" s="46"/>
      <c r="E85" s="431"/>
      <c r="F85" s="431"/>
      <c r="G85" s="426"/>
      <c r="H85" s="426"/>
      <c r="I85" s="426"/>
    </row>
    <row r="86" spans="1:9" ht="30" hidden="1" customHeight="1" thickBot="1">
      <c r="A86" s="44" t="s">
        <v>23</v>
      </c>
      <c r="B86" s="43"/>
      <c r="C86" s="46"/>
      <c r="D86" s="46"/>
      <c r="E86" s="428"/>
      <c r="F86" s="428"/>
      <c r="G86" s="426"/>
      <c r="H86" s="426"/>
      <c r="I86" s="426"/>
    </row>
    <row r="87" spans="1:9" ht="30.75" hidden="1" customHeight="1" thickBot="1">
      <c r="A87" s="44" t="s">
        <v>24</v>
      </c>
      <c r="B87" s="43"/>
      <c r="C87" s="46"/>
      <c r="D87" s="46"/>
      <c r="E87" s="428"/>
      <c r="F87" s="428"/>
      <c r="G87" s="426"/>
      <c r="H87" s="426"/>
      <c r="I87" s="426"/>
    </row>
    <row r="88" spans="1:9" ht="14.25" hidden="1">
      <c r="A88" s="428" t="s">
        <v>45</v>
      </c>
      <c r="B88" s="428"/>
      <c r="C88" s="428"/>
      <c r="D88" s="428"/>
      <c r="E88" s="428"/>
      <c r="F88" s="430"/>
      <c r="G88" s="430"/>
      <c r="H88" s="49"/>
      <c r="I88" s="43"/>
    </row>
    <row r="89" spans="1:9" ht="30.75" hidden="1" customHeight="1" thickBot="1">
      <c r="A89" s="44" t="s">
        <v>46</v>
      </c>
      <c r="B89" s="43"/>
      <c r="C89" s="46"/>
      <c r="D89" s="46"/>
      <c r="E89" s="43"/>
      <c r="F89" s="426"/>
      <c r="G89" s="426"/>
      <c r="H89" s="426"/>
      <c r="I89" s="426"/>
    </row>
    <row r="90" spans="1:9" ht="29.25" hidden="1" customHeight="1" thickBot="1">
      <c r="A90" s="44" t="s">
        <v>47</v>
      </c>
      <c r="B90" s="43"/>
      <c r="C90" s="46"/>
      <c r="D90" s="46"/>
      <c r="E90" s="43"/>
      <c r="F90" s="426"/>
      <c r="G90" s="426"/>
      <c r="H90" s="426"/>
      <c r="I90" s="426"/>
    </row>
    <row r="91" spans="1:9" ht="30.75" hidden="1" customHeight="1" thickBot="1">
      <c r="A91" s="44" t="s">
        <v>48</v>
      </c>
      <c r="B91" s="43"/>
      <c r="C91" s="46"/>
      <c r="D91" s="46"/>
      <c r="E91" s="43"/>
      <c r="F91" s="426"/>
      <c r="G91" s="426"/>
      <c r="H91" s="426"/>
      <c r="I91" s="426"/>
    </row>
    <row r="92" spans="1:9" ht="14.25">
      <c r="A92" s="428" t="s">
        <v>49</v>
      </c>
      <c r="B92" s="428"/>
      <c r="C92" s="428"/>
      <c r="D92" s="428"/>
      <c r="E92" s="428"/>
      <c r="F92" s="426"/>
      <c r="G92" s="426"/>
      <c r="H92" s="426"/>
      <c r="I92" s="426"/>
    </row>
    <row r="93" spans="1:9" ht="45" customHeight="1">
      <c r="A93" s="44" t="s">
        <v>50</v>
      </c>
      <c r="B93" s="43"/>
      <c r="C93" s="46">
        <f>D93*B93*12/1000</f>
        <v>0</v>
      </c>
      <c r="D93" s="46">
        <v>0.03</v>
      </c>
      <c r="E93" s="47"/>
      <c r="F93" s="426"/>
      <c r="G93" s="426"/>
      <c r="H93" s="426"/>
      <c r="I93" s="426"/>
    </row>
    <row r="94" spans="1:9" ht="43.5" customHeight="1">
      <c r="A94" s="44" t="s">
        <v>51</v>
      </c>
      <c r="B94" s="43"/>
      <c r="C94" s="46">
        <f>D94*B94*12/1000</f>
        <v>0</v>
      </c>
      <c r="D94" s="46">
        <v>0.23</v>
      </c>
      <c r="E94" s="43"/>
      <c r="F94" s="426"/>
      <c r="G94" s="426"/>
      <c r="H94" s="426"/>
      <c r="I94" s="426"/>
    </row>
    <row r="95" spans="1:9" ht="30" customHeight="1">
      <c r="A95" s="44" t="s">
        <v>52</v>
      </c>
      <c r="B95" s="43"/>
      <c r="C95" s="46">
        <f>D95*B95*12/1000</f>
        <v>0</v>
      </c>
      <c r="D95" s="46">
        <v>0.14000000000000001</v>
      </c>
      <c r="E95" s="43"/>
      <c r="F95" s="426"/>
      <c r="G95" s="426"/>
      <c r="H95" s="426"/>
      <c r="I95" s="426"/>
    </row>
    <row r="96" spans="1:9" ht="45" customHeight="1">
      <c r="A96" s="44" t="s">
        <v>53</v>
      </c>
      <c r="B96" s="43"/>
      <c r="C96" s="46">
        <f>D96*B96*12/1000</f>
        <v>0</v>
      </c>
      <c r="D96" s="46">
        <v>2.5999999999999999E-3</v>
      </c>
      <c r="E96" s="43"/>
      <c r="F96" s="426"/>
      <c r="G96" s="426"/>
      <c r="H96" s="426"/>
      <c r="I96" s="426"/>
    </row>
    <row r="97" spans="1:9" ht="60" customHeight="1">
      <c r="A97" s="44" t="s">
        <v>54</v>
      </c>
      <c r="B97" s="43"/>
      <c r="C97" s="46">
        <f>D97*B97*12/1000</f>
        <v>0</v>
      </c>
      <c r="D97" s="46">
        <v>1.7000000000000001E-2</v>
      </c>
      <c r="E97" s="43"/>
      <c r="F97" s="426"/>
      <c r="G97" s="426"/>
      <c r="H97" s="426"/>
      <c r="I97" s="426"/>
    </row>
    <row r="98" spans="1:9" ht="14.25" hidden="1">
      <c r="A98" s="428" t="s">
        <v>55</v>
      </c>
      <c r="B98" s="428"/>
      <c r="C98" s="428"/>
      <c r="D98" s="428"/>
      <c r="E98" s="428"/>
      <c r="F98" s="426"/>
      <c r="G98" s="426"/>
      <c r="H98" s="426"/>
      <c r="I98" s="426"/>
    </row>
    <row r="99" spans="1:9" ht="30.75" hidden="1" customHeight="1" thickBot="1">
      <c r="A99" s="44" t="s">
        <v>56</v>
      </c>
      <c r="B99" s="43"/>
      <c r="C99" s="46"/>
      <c r="D99" s="46"/>
      <c r="E99" s="47"/>
      <c r="F99" s="426"/>
      <c r="G99" s="426"/>
      <c r="H99" s="426"/>
      <c r="I99" s="426"/>
    </row>
    <row r="100" spans="1:9" ht="30" hidden="1" customHeight="1" thickBot="1">
      <c r="A100" s="44" t="s">
        <v>57</v>
      </c>
      <c r="B100" s="43"/>
      <c r="C100" s="46"/>
      <c r="D100" s="46"/>
      <c r="E100" s="43"/>
      <c r="F100" s="426"/>
      <c r="G100" s="426"/>
      <c r="H100" s="426"/>
      <c r="I100" s="426"/>
    </row>
    <row r="101" spans="1:9" ht="46.5" hidden="1" customHeight="1" thickBot="1">
      <c r="A101" s="44" t="s">
        <v>69</v>
      </c>
      <c r="B101" s="43"/>
      <c r="C101" s="46"/>
      <c r="D101" s="46"/>
      <c r="E101" s="43"/>
      <c r="F101" s="426"/>
      <c r="G101" s="426"/>
      <c r="H101" s="426"/>
      <c r="I101" s="426"/>
    </row>
    <row r="102" spans="1:9" ht="14.25">
      <c r="A102" s="428" t="s">
        <v>59</v>
      </c>
      <c r="B102" s="428"/>
      <c r="C102" s="428"/>
      <c r="D102" s="428"/>
      <c r="E102" s="428"/>
      <c r="F102" s="426"/>
      <c r="G102" s="426"/>
      <c r="H102" s="426"/>
      <c r="I102" s="426"/>
    </row>
    <row r="103" spans="1:9" ht="29.25" customHeight="1">
      <c r="A103" s="44" t="s">
        <v>60</v>
      </c>
      <c r="B103" s="43"/>
      <c r="C103" s="46">
        <f t="shared" ref="C103:C108" si="2">D103*B103*12/1000</f>
        <v>0</v>
      </c>
      <c r="D103" s="46"/>
      <c r="E103" s="47"/>
      <c r="F103" s="426"/>
      <c r="G103" s="426"/>
      <c r="H103" s="426"/>
      <c r="I103" s="426"/>
    </row>
    <row r="104" spans="1:9" ht="19.5" customHeight="1">
      <c r="A104" s="44" t="s">
        <v>61</v>
      </c>
      <c r="B104" s="47"/>
      <c r="C104" s="46">
        <f t="shared" si="2"/>
        <v>0</v>
      </c>
      <c r="D104" s="46">
        <v>0.05</v>
      </c>
      <c r="E104" s="47"/>
      <c r="F104" s="426"/>
      <c r="G104" s="426"/>
      <c r="H104" s="426"/>
      <c r="I104" s="426"/>
    </row>
    <row r="105" spans="1:9" ht="18" customHeight="1">
      <c r="A105" s="44" t="s">
        <v>62</v>
      </c>
      <c r="B105" s="43"/>
      <c r="C105" s="46">
        <f t="shared" si="2"/>
        <v>0</v>
      </c>
      <c r="D105" s="46"/>
      <c r="E105" s="43"/>
      <c r="F105" s="426"/>
      <c r="G105" s="426"/>
      <c r="H105" s="426"/>
      <c r="I105" s="426"/>
    </row>
    <row r="106" spans="1:9" ht="16.5" customHeight="1">
      <c r="A106" s="44" t="s">
        <v>63</v>
      </c>
      <c r="B106" s="43"/>
      <c r="C106" s="46">
        <f t="shared" si="2"/>
        <v>0</v>
      </c>
      <c r="D106" s="46">
        <v>0.12</v>
      </c>
      <c r="E106" s="43"/>
      <c r="F106" s="426"/>
      <c r="G106" s="426"/>
      <c r="H106" s="426"/>
      <c r="I106" s="426"/>
    </row>
    <row r="107" spans="1:9" ht="18.75" customHeight="1">
      <c r="A107" s="44" t="s">
        <v>73</v>
      </c>
      <c r="B107" s="43"/>
      <c r="C107" s="46">
        <f t="shared" si="2"/>
        <v>0</v>
      </c>
      <c r="D107" s="46"/>
      <c r="E107" s="43"/>
      <c r="F107" s="426"/>
      <c r="G107" s="426"/>
      <c r="H107" s="426"/>
      <c r="I107" s="426"/>
    </row>
    <row r="108" spans="1:9" ht="18.75" customHeight="1">
      <c r="A108" s="44" t="s">
        <v>64</v>
      </c>
      <c r="B108" s="43"/>
      <c r="C108" s="46">
        <f t="shared" si="2"/>
        <v>0</v>
      </c>
      <c r="D108" s="46"/>
      <c r="E108" s="43"/>
      <c r="F108" s="426"/>
      <c r="G108" s="426"/>
      <c r="H108" s="426"/>
      <c r="I108" s="426"/>
    </row>
    <row r="109" spans="1:9" ht="14.25">
      <c r="A109" s="50" t="s">
        <v>65</v>
      </c>
      <c r="B109" s="43"/>
      <c r="C109" s="51">
        <f>C13+C17+C18+C19+C32+C34+C35+C36+C39+C38+C40+C45+C49+C55+C58+C60+C61+C63+C64+C65+C66+C67+C69+C70+C71+C73+C77+C81+C83+C82+C93+C94+C95+C96+C97+C103+C104+C105+C106+C107+C108</f>
        <v>0</v>
      </c>
      <c r="D109" s="51">
        <f>D13+D17+D18+D19+D32+D34+D35+D36+D39+D38+D40+D45+D49+D55+D58+D60+D61+D63+D64+D65+D66+D67+D69+D70+D71+D73+D77+D81+D83+D82+D93+D94+D95+D96+D97+D103+D104+D105+D106+D107+D108</f>
        <v>1.6052999999999997</v>
      </c>
      <c r="E109" s="43"/>
      <c r="F109" s="426"/>
      <c r="G109" s="426"/>
      <c r="H109" s="426"/>
      <c r="I109" s="426"/>
    </row>
    <row r="110" spans="1:9" ht="27" customHeight="1">
      <c r="A110" s="427" t="s">
        <v>66</v>
      </c>
      <c r="B110" s="428"/>
      <c r="C110" s="429">
        <f>C109+авар1!C23</f>
        <v>0</v>
      </c>
      <c r="D110" s="429">
        <f>D109+авар1!D23</f>
        <v>1.7118999999999998</v>
      </c>
      <c r="E110" s="428"/>
      <c r="F110" s="426"/>
      <c r="G110" s="426"/>
      <c r="H110" s="426"/>
      <c r="I110" s="426"/>
    </row>
    <row r="111" spans="1:9" ht="16.5" customHeight="1">
      <c r="A111" s="427"/>
      <c r="B111" s="428"/>
      <c r="C111" s="429"/>
      <c r="D111" s="429"/>
      <c r="E111" s="428"/>
      <c r="F111" s="426"/>
      <c r="G111" s="426"/>
      <c r="H111" s="426"/>
      <c r="I111" s="426"/>
    </row>
    <row r="112" spans="1:9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1" ht="14.25">
      <c r="A113" s="25"/>
    </row>
  </sheetData>
  <mergeCells count="140">
    <mergeCell ref="A7:E7"/>
    <mergeCell ref="A2:E2"/>
    <mergeCell ref="A3:E3"/>
    <mergeCell ref="A4:E4"/>
    <mergeCell ref="A5:E5"/>
    <mergeCell ref="F9:I10"/>
    <mergeCell ref="F11:I11"/>
    <mergeCell ref="A12:E12"/>
    <mergeCell ref="F12:I12"/>
    <mergeCell ref="A9:A11"/>
    <mergeCell ref="B9:B11"/>
    <mergeCell ref="D9:D10"/>
    <mergeCell ref="E9:E11"/>
    <mergeCell ref="A13:A14"/>
    <mergeCell ref="B13:B14"/>
    <mergeCell ref="C13:C14"/>
    <mergeCell ref="D13:D14"/>
    <mergeCell ref="E13:E14"/>
    <mergeCell ref="F13:I14"/>
    <mergeCell ref="F15:I15"/>
    <mergeCell ref="F16:I16"/>
    <mergeCell ref="F17:I17"/>
    <mergeCell ref="F18:I18"/>
    <mergeCell ref="F19:I19"/>
    <mergeCell ref="F20:I20"/>
    <mergeCell ref="A21:E21"/>
    <mergeCell ref="F21:I21"/>
    <mergeCell ref="F22:I22"/>
    <mergeCell ref="B23:B24"/>
    <mergeCell ref="C23:C24"/>
    <mergeCell ref="D23:D24"/>
    <mergeCell ref="E23:E24"/>
    <mergeCell ref="F23:I24"/>
    <mergeCell ref="F25:I25"/>
    <mergeCell ref="F26:I26"/>
    <mergeCell ref="F27:I27"/>
    <mergeCell ref="F28:I28"/>
    <mergeCell ref="F29:I29"/>
    <mergeCell ref="F30:I30"/>
    <mergeCell ref="A31:E31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A41:E41"/>
    <mergeCell ref="F41:I41"/>
    <mergeCell ref="F42:I42"/>
    <mergeCell ref="F43:I43"/>
    <mergeCell ref="F44:I44"/>
    <mergeCell ref="F45:I45"/>
    <mergeCell ref="F46:I46"/>
    <mergeCell ref="A47:E47"/>
    <mergeCell ref="F47:I47"/>
    <mergeCell ref="F48:I48"/>
    <mergeCell ref="F49:I49"/>
    <mergeCell ref="F50:I50"/>
    <mergeCell ref="F51:I51"/>
    <mergeCell ref="A52:E52"/>
    <mergeCell ref="F52:I52"/>
    <mergeCell ref="F53:I53"/>
    <mergeCell ref="A54:E54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A68:E68"/>
    <mergeCell ref="F68:I68"/>
    <mergeCell ref="F69:I69"/>
    <mergeCell ref="F70:I70"/>
    <mergeCell ref="F71:I71"/>
    <mergeCell ref="F72:I72"/>
    <mergeCell ref="F73:I73"/>
    <mergeCell ref="F74:I74"/>
    <mergeCell ref="A75:E75"/>
    <mergeCell ref="F75:I75"/>
    <mergeCell ref="F76:I76"/>
    <mergeCell ref="F77:I77"/>
    <mergeCell ref="F78:I78"/>
    <mergeCell ref="F79:I79"/>
    <mergeCell ref="A80:E80"/>
    <mergeCell ref="F80:I80"/>
    <mergeCell ref="F81:I81"/>
    <mergeCell ref="F82:I82"/>
    <mergeCell ref="F83:I83"/>
    <mergeCell ref="A84:F84"/>
    <mergeCell ref="G84:I84"/>
    <mergeCell ref="E85:F85"/>
    <mergeCell ref="G85:I85"/>
    <mergeCell ref="E86:F86"/>
    <mergeCell ref="G86:I86"/>
    <mergeCell ref="E87:F87"/>
    <mergeCell ref="G87:I87"/>
    <mergeCell ref="A88:E88"/>
    <mergeCell ref="F88:G88"/>
    <mergeCell ref="F89:I89"/>
    <mergeCell ref="F90:I90"/>
    <mergeCell ref="F91:I91"/>
    <mergeCell ref="A92:E92"/>
    <mergeCell ref="F92:I92"/>
    <mergeCell ref="F93:I93"/>
    <mergeCell ref="F94:I94"/>
    <mergeCell ref="F95:I95"/>
    <mergeCell ref="F96:I96"/>
    <mergeCell ref="F97:I97"/>
    <mergeCell ref="A98:E98"/>
    <mergeCell ref="F98:I98"/>
    <mergeCell ref="F99:I99"/>
    <mergeCell ref="F100:I100"/>
    <mergeCell ref="F109:I109"/>
    <mergeCell ref="A110:A111"/>
    <mergeCell ref="B110:B111"/>
    <mergeCell ref="C110:C111"/>
    <mergeCell ref="D110:D111"/>
    <mergeCell ref="E110:E111"/>
    <mergeCell ref="F110:I111"/>
    <mergeCell ref="F101:I101"/>
    <mergeCell ref="A102:E102"/>
    <mergeCell ref="F102:I102"/>
    <mergeCell ref="F103:I103"/>
    <mergeCell ref="F104:I104"/>
    <mergeCell ref="F105:I105"/>
    <mergeCell ref="F106:I106"/>
    <mergeCell ref="F107:I107"/>
    <mergeCell ref="F108:I10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topLeftCell="A11" workbookViewId="0">
      <selection activeCell="H37" sqref="H37"/>
    </sheetView>
  </sheetViews>
  <sheetFormatPr defaultRowHeight="12.75"/>
  <cols>
    <col min="1" max="1" width="4.7109375" customWidth="1"/>
    <col min="2" max="2" width="28" customWidth="1"/>
    <col min="3" max="3" width="9.85546875" customWidth="1"/>
    <col min="4" max="4" width="11.5703125" customWidth="1"/>
    <col min="5" max="5" width="9.7109375" customWidth="1"/>
    <col min="6" max="6" width="11" customWidth="1"/>
    <col min="7" max="7" width="13" hidden="1" customWidth="1"/>
    <col min="8" max="8" width="11.28515625" customWidth="1"/>
  </cols>
  <sheetData>
    <row r="1" spans="1:8">
      <c r="F1" t="s">
        <v>115</v>
      </c>
    </row>
    <row r="4" spans="1:8" ht="15">
      <c r="A4" s="488" t="s">
        <v>221</v>
      </c>
      <c r="B4" s="488"/>
      <c r="C4" s="488"/>
      <c r="D4" s="488"/>
      <c r="E4" s="488"/>
      <c r="F4" s="488"/>
      <c r="G4" s="488"/>
    </row>
    <row r="5" spans="1:8" ht="15">
      <c r="A5" s="488" t="s">
        <v>388</v>
      </c>
      <c r="B5" s="488"/>
      <c r="C5" s="488"/>
      <c r="D5" s="488"/>
      <c r="E5" s="488"/>
      <c r="F5" s="488"/>
      <c r="G5" s="488"/>
    </row>
    <row r="6" spans="1:8" ht="15">
      <c r="B6" s="95"/>
    </row>
    <row r="7" spans="1:8">
      <c r="A7" t="s">
        <v>222</v>
      </c>
      <c r="C7" s="201" t="e">
        <f>#REF!</f>
        <v>#REF!</v>
      </c>
      <c r="D7" t="s">
        <v>223</v>
      </c>
    </row>
    <row r="8" spans="1:8" ht="10.5" customHeight="1"/>
    <row r="9" spans="1:8" ht="63.75">
      <c r="A9" s="99" t="s">
        <v>86</v>
      </c>
      <c r="B9" s="99" t="s">
        <v>398</v>
      </c>
      <c r="C9" s="99" t="s">
        <v>224</v>
      </c>
      <c r="D9" s="99" t="s">
        <v>225</v>
      </c>
      <c r="E9" s="99" t="s">
        <v>226</v>
      </c>
      <c r="F9" s="99" t="s">
        <v>227</v>
      </c>
      <c r="G9" s="99" t="s">
        <v>228</v>
      </c>
      <c r="H9" s="99" t="s">
        <v>228</v>
      </c>
    </row>
    <row r="10" spans="1:8">
      <c r="A10" s="42">
        <v>1</v>
      </c>
      <c r="B10" s="42" t="s">
        <v>229</v>
      </c>
      <c r="C10" s="121" t="s">
        <v>230</v>
      </c>
      <c r="D10" s="144">
        <v>3.2000000000000002E-3</v>
      </c>
      <c r="E10" s="104" t="e">
        <f>SUM(D10*C7)</f>
        <v>#REF!</v>
      </c>
      <c r="F10" s="104">
        <f>45000*1.106</f>
        <v>49770.000000000007</v>
      </c>
      <c r="G10" s="104" t="e">
        <f t="shared" ref="G10:G27" si="0">SUM(F10*E10)</f>
        <v>#REF!</v>
      </c>
      <c r="H10" s="140" t="e">
        <f>G10*0.85</f>
        <v>#REF!</v>
      </c>
    </row>
    <row r="11" spans="1:8" ht="12.75" customHeight="1">
      <c r="A11" s="42">
        <v>2</v>
      </c>
      <c r="B11" s="99" t="s">
        <v>231</v>
      </c>
      <c r="C11" s="121" t="s">
        <v>232</v>
      </c>
      <c r="D11" s="145">
        <v>6.4999999999999997E-4</v>
      </c>
      <c r="E11" s="104" t="e">
        <f>SUM(D11*C7)</f>
        <v>#REF!</v>
      </c>
      <c r="F11" s="104">
        <f>188000*1.106</f>
        <v>207928.00000000003</v>
      </c>
      <c r="G11" s="104" t="e">
        <f t="shared" si="0"/>
        <v>#REF!</v>
      </c>
      <c r="H11" s="140" t="e">
        <f t="shared" ref="H11:H28" si="1">G11*0.85</f>
        <v>#REF!</v>
      </c>
    </row>
    <row r="12" spans="1:8">
      <c r="A12" s="42">
        <v>3</v>
      </c>
      <c r="B12" s="99" t="s">
        <v>233</v>
      </c>
      <c r="C12" s="121" t="s">
        <v>230</v>
      </c>
      <c r="D12" s="144">
        <v>1.4999999999999999E-2</v>
      </c>
      <c r="E12" s="104" t="e">
        <f>SUM(D12*C7)</f>
        <v>#REF!</v>
      </c>
      <c r="F12" s="104">
        <f>75000*1.106</f>
        <v>82950</v>
      </c>
      <c r="G12" s="104" t="e">
        <f t="shared" si="0"/>
        <v>#REF!</v>
      </c>
      <c r="H12" s="140" t="e">
        <f t="shared" si="1"/>
        <v>#REF!</v>
      </c>
    </row>
    <row r="13" spans="1:8">
      <c r="A13" s="42">
        <v>4</v>
      </c>
      <c r="B13" s="99" t="s">
        <v>234</v>
      </c>
      <c r="C13" s="121" t="s">
        <v>176</v>
      </c>
      <c r="D13" s="144">
        <v>0.86</v>
      </c>
      <c r="E13" s="104" t="e">
        <f>SUM(D13*C7)</f>
        <v>#REF!</v>
      </c>
      <c r="F13" s="104">
        <f>117*1.106</f>
        <v>129.40200000000002</v>
      </c>
      <c r="G13" s="104" t="e">
        <f t="shared" si="0"/>
        <v>#REF!</v>
      </c>
      <c r="H13" s="140" t="e">
        <f t="shared" si="1"/>
        <v>#REF!</v>
      </c>
    </row>
    <row r="14" spans="1:8">
      <c r="A14" s="42">
        <v>5</v>
      </c>
      <c r="B14" s="99" t="s">
        <v>235</v>
      </c>
      <c r="C14" s="121" t="s">
        <v>176</v>
      </c>
      <c r="D14" s="144">
        <v>3.84</v>
      </c>
      <c r="E14" s="104" t="e">
        <f>SUM(D14*C7)</f>
        <v>#REF!</v>
      </c>
      <c r="F14" s="104">
        <f>156*1.106</f>
        <v>172.536</v>
      </c>
      <c r="G14" s="104" t="e">
        <f t="shared" si="0"/>
        <v>#REF!</v>
      </c>
      <c r="H14" s="140" t="e">
        <f t="shared" si="1"/>
        <v>#REF!</v>
      </c>
    </row>
    <row r="15" spans="1:8">
      <c r="A15" s="42">
        <v>6</v>
      </c>
      <c r="B15" s="99" t="s">
        <v>236</v>
      </c>
      <c r="C15" s="121" t="s">
        <v>237</v>
      </c>
      <c r="D15" s="144">
        <v>0.01</v>
      </c>
      <c r="E15" s="104" t="e">
        <f>SUM(D15*C7)</f>
        <v>#REF!</v>
      </c>
      <c r="F15" s="104">
        <f>52000*1.106</f>
        <v>57512.000000000007</v>
      </c>
      <c r="G15" s="104" t="e">
        <f t="shared" si="0"/>
        <v>#REF!</v>
      </c>
      <c r="H15" s="140" t="e">
        <f t="shared" si="1"/>
        <v>#REF!</v>
      </c>
    </row>
    <row r="16" spans="1:8">
      <c r="A16" s="42">
        <v>7</v>
      </c>
      <c r="B16" s="99" t="s">
        <v>238</v>
      </c>
      <c r="C16" s="121" t="s">
        <v>239</v>
      </c>
      <c r="D16" s="144">
        <v>1.4800000000000001E-2</v>
      </c>
      <c r="E16" s="104" t="e">
        <f>SUM(D16*C7)</f>
        <v>#REF!</v>
      </c>
      <c r="F16" s="104">
        <f>200000*1.106</f>
        <v>221200.00000000003</v>
      </c>
      <c r="G16" s="104" t="e">
        <f t="shared" si="0"/>
        <v>#REF!</v>
      </c>
      <c r="H16" s="140" t="e">
        <f t="shared" si="1"/>
        <v>#REF!</v>
      </c>
    </row>
    <row r="17" spans="1:8">
      <c r="A17" s="42">
        <v>8</v>
      </c>
      <c r="B17" s="99" t="s">
        <v>240</v>
      </c>
      <c r="C17" s="121" t="s">
        <v>230</v>
      </c>
      <c r="D17" s="144">
        <v>0.04</v>
      </c>
      <c r="E17" s="104" t="e">
        <f>SUM(D17*C7)</f>
        <v>#REF!</v>
      </c>
      <c r="F17" s="104">
        <f>3980*1.106</f>
        <v>4401.88</v>
      </c>
      <c r="G17" s="104" t="e">
        <f t="shared" si="0"/>
        <v>#REF!</v>
      </c>
      <c r="H17" s="140" t="e">
        <f t="shared" si="1"/>
        <v>#REF!</v>
      </c>
    </row>
    <row r="18" spans="1:8" ht="12.75" customHeight="1">
      <c r="A18" s="42">
        <v>9</v>
      </c>
      <c r="B18" s="99" t="s">
        <v>241</v>
      </c>
      <c r="C18" s="121" t="s">
        <v>242</v>
      </c>
      <c r="D18" s="144">
        <v>0.42499999999999999</v>
      </c>
      <c r="E18" s="104" t="e">
        <f>SUM(D18*C7)</f>
        <v>#REF!</v>
      </c>
      <c r="F18" s="104">
        <f>6500*1.106</f>
        <v>7189.0000000000009</v>
      </c>
      <c r="G18" s="104" t="e">
        <f t="shared" si="0"/>
        <v>#REF!</v>
      </c>
      <c r="H18" s="140" t="e">
        <f t="shared" si="1"/>
        <v>#REF!</v>
      </c>
    </row>
    <row r="19" spans="1:8">
      <c r="A19" s="42">
        <v>10</v>
      </c>
      <c r="B19" s="99" t="s">
        <v>243</v>
      </c>
      <c r="C19" s="121" t="s">
        <v>230</v>
      </c>
      <c r="D19" s="144">
        <v>4.4999999999999998E-2</v>
      </c>
      <c r="E19" s="104" t="e">
        <f>SUM(D19*C7)</f>
        <v>#REF!</v>
      </c>
      <c r="F19" s="104">
        <f>9744*1.106</f>
        <v>10776.864000000001</v>
      </c>
      <c r="G19" s="104" t="e">
        <f t="shared" si="0"/>
        <v>#REF!</v>
      </c>
      <c r="H19" s="140" t="e">
        <f t="shared" si="1"/>
        <v>#REF!</v>
      </c>
    </row>
    <row r="20" spans="1:8" ht="12.75" customHeight="1">
      <c r="A20" s="42">
        <v>11</v>
      </c>
      <c r="B20" s="99" t="s">
        <v>244</v>
      </c>
      <c r="C20" s="121" t="s">
        <v>176</v>
      </c>
      <c r="D20" s="144">
        <v>0.1</v>
      </c>
      <c r="E20" s="104" t="e">
        <f>SUM(D20*C7)</f>
        <v>#REF!</v>
      </c>
      <c r="F20" s="104">
        <f>400*1.106</f>
        <v>442.40000000000003</v>
      </c>
      <c r="G20" s="104" t="e">
        <f t="shared" si="0"/>
        <v>#REF!</v>
      </c>
      <c r="H20" s="140" t="e">
        <f t="shared" si="1"/>
        <v>#REF!</v>
      </c>
    </row>
    <row r="21" spans="1:8">
      <c r="A21" s="42">
        <v>12</v>
      </c>
      <c r="B21" s="99" t="s">
        <v>245</v>
      </c>
      <c r="C21" s="121" t="s">
        <v>230</v>
      </c>
      <c r="D21" s="144">
        <v>1.1999999999999999E-3</v>
      </c>
      <c r="E21" s="104" t="e">
        <f>SUM(D21*C7)</f>
        <v>#REF!</v>
      </c>
      <c r="F21" s="104">
        <f>6250*1.106</f>
        <v>6912.5000000000009</v>
      </c>
      <c r="G21" s="104" t="e">
        <f t="shared" si="0"/>
        <v>#REF!</v>
      </c>
      <c r="H21" s="140" t="e">
        <f t="shared" si="1"/>
        <v>#REF!</v>
      </c>
    </row>
    <row r="22" spans="1:8">
      <c r="A22" s="42">
        <v>13</v>
      </c>
      <c r="B22" s="99" t="s">
        <v>85</v>
      </c>
      <c r="C22" s="121" t="s">
        <v>246</v>
      </c>
      <c r="D22" s="144">
        <v>2.66</v>
      </c>
      <c r="E22" s="104" t="e">
        <f>SUM(D22*C7)</f>
        <v>#REF!</v>
      </c>
      <c r="F22" s="104">
        <f>10.5*1.106</f>
        <v>11.613000000000001</v>
      </c>
      <c r="G22" s="104" t="e">
        <f t="shared" si="0"/>
        <v>#REF!</v>
      </c>
      <c r="H22" s="140" t="e">
        <f t="shared" si="1"/>
        <v>#REF!</v>
      </c>
    </row>
    <row r="23" spans="1:8">
      <c r="A23" s="42">
        <v>14</v>
      </c>
      <c r="B23" s="99" t="s">
        <v>247</v>
      </c>
      <c r="C23" s="121" t="s">
        <v>230</v>
      </c>
      <c r="D23" s="144">
        <v>0.17</v>
      </c>
      <c r="E23" s="104" t="e">
        <f>SUM(D23*C7)</f>
        <v>#REF!</v>
      </c>
      <c r="F23" s="104">
        <f>5000*1.106</f>
        <v>5530.0000000000009</v>
      </c>
      <c r="G23" s="104" t="e">
        <f t="shared" si="0"/>
        <v>#REF!</v>
      </c>
      <c r="H23" s="140" t="e">
        <f t="shared" si="1"/>
        <v>#REF!</v>
      </c>
    </row>
    <row r="24" spans="1:8">
      <c r="A24" s="42">
        <v>15</v>
      </c>
      <c r="B24" s="99" t="s">
        <v>248</v>
      </c>
      <c r="C24" s="121" t="s">
        <v>128</v>
      </c>
      <c r="D24" s="144">
        <v>1.01</v>
      </c>
      <c r="E24" s="104" t="e">
        <f>SUM(D24*C7)</f>
        <v>#REF!</v>
      </c>
      <c r="F24" s="104">
        <f>50*1.106</f>
        <v>55.300000000000004</v>
      </c>
      <c r="G24" s="104" t="e">
        <f t="shared" si="0"/>
        <v>#REF!</v>
      </c>
      <c r="H24" s="140" t="e">
        <f t="shared" si="1"/>
        <v>#REF!</v>
      </c>
    </row>
    <row r="25" spans="1:8">
      <c r="A25" s="42">
        <v>16</v>
      </c>
      <c r="B25" s="99" t="s">
        <v>249</v>
      </c>
      <c r="C25" s="121" t="s">
        <v>230</v>
      </c>
      <c r="D25" s="144">
        <v>8.9999999999999998E-4</v>
      </c>
      <c r="E25" s="104" t="e">
        <f>SUM(D25*C7)</f>
        <v>#REF!</v>
      </c>
      <c r="F25" s="104">
        <f>190000*1.106</f>
        <v>210140.00000000003</v>
      </c>
      <c r="G25" s="104" t="e">
        <f t="shared" si="0"/>
        <v>#REF!</v>
      </c>
      <c r="H25" s="140" t="e">
        <f t="shared" si="1"/>
        <v>#REF!</v>
      </c>
    </row>
    <row r="26" spans="1:8">
      <c r="A26" s="116">
        <v>17</v>
      </c>
      <c r="B26" s="99" t="s">
        <v>250</v>
      </c>
      <c r="C26" s="121" t="s">
        <v>242</v>
      </c>
      <c r="D26" s="121">
        <v>0.03</v>
      </c>
      <c r="E26" s="104" t="e">
        <f>SUM(D26*C7)</f>
        <v>#REF!</v>
      </c>
      <c r="F26" s="140">
        <f>650*1.106</f>
        <v>718.90000000000009</v>
      </c>
      <c r="G26" s="104" t="e">
        <f t="shared" si="0"/>
        <v>#REF!</v>
      </c>
      <c r="H26" s="140" t="e">
        <f t="shared" si="1"/>
        <v>#REF!</v>
      </c>
    </row>
    <row r="27" spans="1:8">
      <c r="A27" s="116">
        <v>18</v>
      </c>
      <c r="B27" s="99" t="s">
        <v>251</v>
      </c>
      <c r="C27" s="121" t="s">
        <v>242</v>
      </c>
      <c r="D27" s="121">
        <v>0.01</v>
      </c>
      <c r="E27" s="104" t="e">
        <f>SUM(D27*C7)</f>
        <v>#REF!</v>
      </c>
      <c r="F27" s="140">
        <f>379*1.106</f>
        <v>419.17400000000004</v>
      </c>
      <c r="G27" s="104" t="e">
        <f t="shared" si="0"/>
        <v>#REF!</v>
      </c>
      <c r="H27" s="140" t="e">
        <f t="shared" si="1"/>
        <v>#REF!</v>
      </c>
    </row>
    <row r="28" spans="1:8">
      <c r="A28" s="42">
        <v>19</v>
      </c>
      <c r="B28" s="99" t="s">
        <v>252</v>
      </c>
      <c r="C28" s="121" t="s">
        <v>176</v>
      </c>
      <c r="D28" s="121">
        <v>0.11</v>
      </c>
      <c r="E28" s="104" t="e">
        <f>SUM(D28*C7)</f>
        <v>#REF!</v>
      </c>
      <c r="F28" s="140">
        <f>21009*1.106</f>
        <v>23235.954000000002</v>
      </c>
      <c r="G28" s="104" t="e">
        <f>SUM(F28*E28)</f>
        <v>#REF!</v>
      </c>
      <c r="H28" s="140" t="e">
        <f t="shared" si="1"/>
        <v>#REF!</v>
      </c>
    </row>
    <row r="29" spans="1:8">
      <c r="A29" s="42"/>
      <c r="B29" s="99"/>
      <c r="C29" s="121"/>
      <c r="D29" s="121"/>
      <c r="E29" s="104"/>
      <c r="F29" s="121"/>
      <c r="G29" s="140" t="e">
        <f>SUM(G10:G28)</f>
        <v>#REF!</v>
      </c>
      <c r="H29" s="140" t="e">
        <f>SUM(H10:H28)</f>
        <v>#REF!</v>
      </c>
    </row>
    <row r="33" spans="1:8">
      <c r="A33" s="486" t="s">
        <v>175</v>
      </c>
      <c r="B33" s="486"/>
      <c r="C33" s="486"/>
      <c r="D33" s="486"/>
      <c r="E33" s="486"/>
      <c r="F33" s="486"/>
      <c r="G33" s="486"/>
      <c r="H33" s="486"/>
    </row>
    <row r="36" spans="1:8">
      <c r="B36" t="s">
        <v>389</v>
      </c>
    </row>
    <row r="53" spans="7:7">
      <c r="G53" s="117">
        <v>7</v>
      </c>
    </row>
  </sheetData>
  <mergeCells count="3">
    <mergeCell ref="A4:G4"/>
    <mergeCell ref="A5:G5"/>
    <mergeCell ref="A33:H33"/>
  </mergeCells>
  <phoneticPr fontId="2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7"/>
  <sheetViews>
    <sheetView workbookViewId="0">
      <selection sqref="A1:I49"/>
    </sheetView>
  </sheetViews>
  <sheetFormatPr defaultRowHeight="12.75"/>
  <cols>
    <col min="1" max="1" width="33.140625" customWidth="1"/>
    <col min="2" max="2" width="10.85546875" customWidth="1"/>
    <col min="3" max="3" width="14.7109375" customWidth="1"/>
    <col min="4" max="4" width="13.7109375" customWidth="1"/>
    <col min="5" max="5" width="15.42578125" hidden="1" customWidth="1"/>
    <col min="6" max="6" width="0.5703125" hidden="1" customWidth="1"/>
    <col min="7" max="8" width="9.140625" hidden="1" customWidth="1"/>
    <col min="9" max="9" width="12.5703125" customWidth="1"/>
  </cols>
  <sheetData>
    <row r="1" spans="1:9">
      <c r="D1" t="s">
        <v>112</v>
      </c>
    </row>
    <row r="2" spans="1:9" ht="5.25" customHeight="1"/>
    <row r="3" spans="1:9" ht="13.5" customHeight="1">
      <c r="A3" s="96"/>
      <c r="B3" s="96" t="s">
        <v>177</v>
      </c>
      <c r="C3" s="96"/>
      <c r="D3" s="96"/>
    </row>
    <row r="4" spans="1:9" ht="15">
      <c r="A4" s="513" t="s">
        <v>178</v>
      </c>
      <c r="B4" s="513"/>
      <c r="C4" s="513"/>
      <c r="D4" s="513"/>
      <c r="E4" s="513"/>
    </row>
    <row r="5" spans="1:9" ht="3.75" customHeight="1">
      <c r="A5" s="97"/>
      <c r="B5" s="97"/>
      <c r="C5" s="97"/>
      <c r="D5" s="97"/>
      <c r="E5" s="97"/>
    </row>
    <row r="6" spans="1:9" ht="51" customHeight="1">
      <c r="A6" s="98" t="s">
        <v>179</v>
      </c>
      <c r="B6" s="98" t="s">
        <v>180</v>
      </c>
      <c r="C6" s="99" t="s">
        <v>181</v>
      </c>
      <c r="D6" s="99" t="s">
        <v>182</v>
      </c>
      <c r="E6" s="99" t="s">
        <v>183</v>
      </c>
      <c r="F6" s="100"/>
      <c r="G6" s="100"/>
      <c r="H6" s="100"/>
      <c r="I6" s="215" t="s">
        <v>316</v>
      </c>
    </row>
    <row r="7" spans="1:9" ht="23.25" customHeight="1">
      <c r="A7" s="514" t="s">
        <v>184</v>
      </c>
      <c r="B7" s="515"/>
      <c r="C7" s="515"/>
      <c r="D7" s="516"/>
      <c r="E7" s="99"/>
      <c r="F7" s="100"/>
      <c r="G7" s="100"/>
      <c r="H7" s="100"/>
      <c r="I7" s="99"/>
    </row>
    <row r="8" spans="1:9" ht="26.25" customHeight="1">
      <c r="A8" s="101" t="s">
        <v>185</v>
      </c>
      <c r="B8" s="102">
        <v>5</v>
      </c>
      <c r="C8" s="139">
        <f>2208.81*2.16</f>
        <v>4771.0295999999998</v>
      </c>
      <c r="D8" s="103" t="e">
        <f>#REF!</f>
        <v>#REF!</v>
      </c>
      <c r="E8" s="104" t="e">
        <f t="shared" ref="E8:E21" si="0">SUM(C8*D8*1.4*1.15*1.1*1.12)</f>
        <v>#REF!</v>
      </c>
      <c r="I8" s="104" t="e">
        <f t="shared" ref="I8:I23" si="1">E8*0.6*1.314</f>
        <v>#REF!</v>
      </c>
    </row>
    <row r="9" spans="1:9">
      <c r="A9" s="101" t="s">
        <v>186</v>
      </c>
      <c r="B9" s="102">
        <v>4</v>
      </c>
      <c r="C9" s="139">
        <f t="shared" ref="C9:C18" si="2">2208.81*1.91</f>
        <v>4218.8270999999995</v>
      </c>
      <c r="D9" s="103" t="e">
        <f>#REF!</f>
        <v>#REF!</v>
      </c>
      <c r="E9" s="104" t="e">
        <f t="shared" si="0"/>
        <v>#REF!</v>
      </c>
      <c r="I9" s="104" t="e">
        <f t="shared" si="1"/>
        <v>#REF!</v>
      </c>
    </row>
    <row r="10" spans="1:9" ht="16.5" customHeight="1">
      <c r="A10" s="101" t="s">
        <v>187</v>
      </c>
      <c r="B10" s="102">
        <v>4</v>
      </c>
      <c r="C10" s="139">
        <f t="shared" si="2"/>
        <v>4218.8270999999995</v>
      </c>
      <c r="D10" s="103" t="e">
        <f>#REF!</f>
        <v>#REF!</v>
      </c>
      <c r="E10" s="104" t="e">
        <f t="shared" si="0"/>
        <v>#REF!</v>
      </c>
      <c r="I10" s="104" t="e">
        <f t="shared" si="1"/>
        <v>#REF!</v>
      </c>
    </row>
    <row r="11" spans="1:9">
      <c r="A11" s="101" t="s">
        <v>188</v>
      </c>
      <c r="B11" s="102">
        <v>5</v>
      </c>
      <c r="C11" s="139">
        <f>C8</f>
        <v>4771.0295999999998</v>
      </c>
      <c r="D11" s="103" t="e">
        <f>#REF!</f>
        <v>#REF!</v>
      </c>
      <c r="E11" s="104" t="e">
        <f t="shared" si="0"/>
        <v>#REF!</v>
      </c>
      <c r="I11" s="104" t="e">
        <f t="shared" si="1"/>
        <v>#REF!</v>
      </c>
    </row>
    <row r="12" spans="1:9" ht="14.25" customHeight="1">
      <c r="A12" s="101" t="s">
        <v>189</v>
      </c>
      <c r="B12" s="102">
        <v>4</v>
      </c>
      <c r="C12" s="139">
        <f t="shared" si="2"/>
        <v>4218.8270999999995</v>
      </c>
      <c r="D12" s="103" t="e">
        <f>#REF!</f>
        <v>#REF!</v>
      </c>
      <c r="E12" s="104" t="e">
        <f t="shared" si="0"/>
        <v>#REF!</v>
      </c>
      <c r="I12" s="104" t="e">
        <f t="shared" si="1"/>
        <v>#REF!</v>
      </c>
    </row>
    <row r="13" spans="1:9" ht="27.75" customHeight="1">
      <c r="A13" s="101" t="s">
        <v>190</v>
      </c>
      <c r="B13" s="102">
        <v>4</v>
      </c>
      <c r="C13" s="139">
        <f t="shared" si="2"/>
        <v>4218.8270999999995</v>
      </c>
      <c r="D13" s="103" t="e">
        <f>#REF!</f>
        <v>#REF!</v>
      </c>
      <c r="E13" s="104" t="e">
        <f t="shared" si="0"/>
        <v>#REF!</v>
      </c>
      <c r="I13" s="104" t="e">
        <f t="shared" si="1"/>
        <v>#REF!</v>
      </c>
    </row>
    <row r="14" spans="1:9">
      <c r="A14" s="101" t="s">
        <v>191</v>
      </c>
      <c r="B14" s="102">
        <v>4</v>
      </c>
      <c r="C14" s="139">
        <f t="shared" si="2"/>
        <v>4218.8270999999995</v>
      </c>
      <c r="D14" s="103" t="e">
        <f>#REF!</f>
        <v>#REF!</v>
      </c>
      <c r="E14" s="104" t="e">
        <f t="shared" si="0"/>
        <v>#REF!</v>
      </c>
      <c r="I14" s="104" t="e">
        <f t="shared" si="1"/>
        <v>#REF!</v>
      </c>
    </row>
    <row r="15" spans="1:9" ht="26.25" customHeight="1">
      <c r="A15" s="101" t="s">
        <v>192</v>
      </c>
      <c r="B15" s="102">
        <v>4</v>
      </c>
      <c r="C15" s="139">
        <f t="shared" si="2"/>
        <v>4218.8270999999995</v>
      </c>
      <c r="D15" s="103" t="e">
        <f>#REF!</f>
        <v>#REF!</v>
      </c>
      <c r="E15" s="104" t="e">
        <f t="shared" si="0"/>
        <v>#REF!</v>
      </c>
      <c r="I15" s="104" t="e">
        <f t="shared" si="1"/>
        <v>#REF!</v>
      </c>
    </row>
    <row r="16" spans="1:9">
      <c r="A16" s="101" t="s">
        <v>193</v>
      </c>
      <c r="B16" s="102">
        <v>4</v>
      </c>
      <c r="C16" s="139">
        <f t="shared" si="2"/>
        <v>4218.8270999999995</v>
      </c>
      <c r="D16" s="103" t="e">
        <f>#REF!</f>
        <v>#REF!</v>
      </c>
      <c r="E16" s="104" t="e">
        <f t="shared" si="0"/>
        <v>#REF!</v>
      </c>
      <c r="I16" s="104" t="e">
        <f t="shared" si="1"/>
        <v>#REF!</v>
      </c>
    </row>
    <row r="17" spans="1:9">
      <c r="A17" s="101" t="s">
        <v>194</v>
      </c>
      <c r="B17" s="102">
        <v>4</v>
      </c>
      <c r="C17" s="139">
        <f t="shared" si="2"/>
        <v>4218.8270999999995</v>
      </c>
      <c r="D17" s="105" t="e">
        <f>#REF!</f>
        <v>#REF!</v>
      </c>
      <c r="E17" s="104" t="e">
        <f t="shared" si="0"/>
        <v>#REF!</v>
      </c>
      <c r="I17" s="104" t="e">
        <f t="shared" si="1"/>
        <v>#REF!</v>
      </c>
    </row>
    <row r="18" spans="1:9" ht="15.75" customHeight="1">
      <c r="A18" s="101" t="s">
        <v>195</v>
      </c>
      <c r="B18" s="102">
        <v>4</v>
      </c>
      <c r="C18" s="139">
        <f t="shared" si="2"/>
        <v>4218.8270999999995</v>
      </c>
      <c r="D18" s="103" t="e">
        <f>#REF!</f>
        <v>#REF!</v>
      </c>
      <c r="E18" s="104" t="e">
        <f t="shared" si="0"/>
        <v>#REF!</v>
      </c>
      <c r="I18" s="104" t="e">
        <f t="shared" si="1"/>
        <v>#REF!</v>
      </c>
    </row>
    <row r="19" spans="1:9" ht="12.75" customHeight="1">
      <c r="A19" s="101" t="s">
        <v>196</v>
      </c>
      <c r="B19" s="102">
        <v>6</v>
      </c>
      <c r="C19" s="139">
        <f>2208.81*2.44</f>
        <v>5389.4964</v>
      </c>
      <c r="D19" s="103" t="e">
        <f>#REF!</f>
        <v>#REF!</v>
      </c>
      <c r="E19" s="104" t="e">
        <f t="shared" si="0"/>
        <v>#REF!</v>
      </c>
      <c r="I19" s="104" t="e">
        <f t="shared" si="1"/>
        <v>#REF!</v>
      </c>
    </row>
    <row r="20" spans="1:9">
      <c r="A20" s="101" t="s">
        <v>197</v>
      </c>
      <c r="B20" s="102">
        <v>4</v>
      </c>
      <c r="C20" s="139">
        <f>C18</f>
        <v>4218.8270999999995</v>
      </c>
      <c r="D20" s="103" t="e">
        <f>#REF!</f>
        <v>#REF!</v>
      </c>
      <c r="E20" s="104" t="e">
        <f t="shared" si="0"/>
        <v>#REF!</v>
      </c>
      <c r="I20" s="104" t="e">
        <f t="shared" si="1"/>
        <v>#REF!</v>
      </c>
    </row>
    <row r="21" spans="1:9">
      <c r="A21" s="101" t="s">
        <v>198</v>
      </c>
      <c r="B21" s="102">
        <v>4</v>
      </c>
      <c r="C21" s="139">
        <f>C20</f>
        <v>4218.8270999999995</v>
      </c>
      <c r="D21" s="103" t="e">
        <f>#REF!</f>
        <v>#REF!</v>
      </c>
      <c r="E21" s="104" t="e">
        <f t="shared" si="0"/>
        <v>#REF!</v>
      </c>
      <c r="I21" s="104" t="e">
        <f t="shared" si="1"/>
        <v>#REF!</v>
      </c>
    </row>
    <row r="22" spans="1:9">
      <c r="A22" s="101" t="s">
        <v>396</v>
      </c>
      <c r="B22" s="102">
        <v>6</v>
      </c>
      <c r="C22" s="139">
        <f>C19</f>
        <v>5389.4964</v>
      </c>
      <c r="D22" s="103" t="e">
        <f>#REF!</f>
        <v>#REF!</v>
      </c>
      <c r="E22" s="104" t="e">
        <f>SUM(C22*D22*1.4*1.15*1.1*1.12*1.12)</f>
        <v>#REF!</v>
      </c>
      <c r="I22" s="104" t="e">
        <f t="shared" si="1"/>
        <v>#REF!</v>
      </c>
    </row>
    <row r="23" spans="1:9" ht="16.5" customHeight="1">
      <c r="A23" s="101" t="s">
        <v>199</v>
      </c>
      <c r="B23" s="102"/>
      <c r="C23" s="139">
        <v>4934.4799999999996</v>
      </c>
      <c r="D23" s="103" t="e">
        <f>#REF!</f>
        <v>#REF!</v>
      </c>
      <c r="E23" s="104" t="e">
        <f>SUM(C23*D23*1.15*1.1*1.12*1.12)</f>
        <v>#REF!</v>
      </c>
      <c r="I23" s="104" t="e">
        <f t="shared" si="1"/>
        <v>#REF!</v>
      </c>
    </row>
    <row r="24" spans="1:9" ht="16.5" customHeight="1">
      <c r="A24" s="106" t="s">
        <v>200</v>
      </c>
      <c r="B24" s="102"/>
      <c r="C24" s="102"/>
      <c r="D24" s="103" t="e">
        <f t="shared" ref="D24:I24" si="3">SUM(D8:D23)</f>
        <v>#REF!</v>
      </c>
      <c r="E24" s="217" t="e">
        <f t="shared" si="3"/>
        <v>#REF!</v>
      </c>
      <c r="F24" s="217">
        <f t="shared" si="3"/>
        <v>0</v>
      </c>
      <c r="G24" s="217">
        <f t="shared" si="3"/>
        <v>0</v>
      </c>
      <c r="H24" s="217">
        <f t="shared" si="3"/>
        <v>0</v>
      </c>
      <c r="I24" s="217" t="e">
        <f t="shared" si="3"/>
        <v>#REF!</v>
      </c>
    </row>
    <row r="25" spans="1:9" ht="16.5" customHeight="1">
      <c r="A25" s="107" t="s">
        <v>201</v>
      </c>
      <c r="B25" s="102"/>
      <c r="C25" s="102"/>
      <c r="D25" s="103"/>
      <c r="E25" s="217" t="e">
        <f>SUM(E24*12)*1.07</f>
        <v>#REF!</v>
      </c>
      <c r="F25" s="217">
        <f>SUM(F24*12)*1.07</f>
        <v>0</v>
      </c>
      <c r="G25" s="217">
        <f>SUM(G24*12)*1.07</f>
        <v>0</v>
      </c>
      <c r="H25" s="217">
        <f>SUM(H24*12)*1.07</f>
        <v>0</v>
      </c>
      <c r="I25" s="217" t="e">
        <f>SUM(I24*12)*1.07</f>
        <v>#REF!</v>
      </c>
    </row>
    <row r="26" spans="1:9" ht="16.5" customHeight="1">
      <c r="A26" s="507" t="s">
        <v>111</v>
      </c>
      <c r="B26" s="508"/>
      <c r="C26" s="102"/>
      <c r="D26" s="103"/>
      <c r="E26" s="104" t="e">
        <f>SUM(E25*0.342)</f>
        <v>#REF!</v>
      </c>
      <c r="F26" s="104">
        <f>SUM(F25*0.342)</f>
        <v>0</v>
      </c>
      <c r="G26" s="104">
        <f>SUM(G25*0.342)</f>
        <v>0</v>
      </c>
      <c r="H26" s="104">
        <f>SUM(H25*0.342)</f>
        <v>0</v>
      </c>
      <c r="I26" s="104" t="e">
        <f>SUM(I25*0.342)</f>
        <v>#REF!</v>
      </c>
    </row>
    <row r="27" spans="1:9" ht="16.5" customHeight="1">
      <c r="A27" s="507" t="s">
        <v>202</v>
      </c>
      <c r="B27" s="517"/>
      <c r="C27" s="517"/>
      <c r="D27" s="508"/>
      <c r="E27" s="104"/>
    </row>
    <row r="28" spans="1:9" ht="41.25" customHeight="1">
      <c r="A28" s="101" t="s">
        <v>208</v>
      </c>
      <c r="B28" s="102">
        <v>5</v>
      </c>
      <c r="C28" s="139">
        <f>C11</f>
        <v>4771.0295999999998</v>
      </c>
      <c r="D28" s="104" t="e">
        <f>#REF!</f>
        <v>#REF!</v>
      </c>
      <c r="E28" s="104" t="e">
        <f>SUM(C28*D28*1.4*1.15*1.1*1.12)*1.31</f>
        <v>#REF!</v>
      </c>
      <c r="I28" s="104" t="e">
        <f>E28*1.232*0.76336</f>
        <v>#REF!</v>
      </c>
    </row>
    <row r="29" spans="1:9" ht="25.5">
      <c r="A29" s="101" t="s">
        <v>209</v>
      </c>
      <c r="B29" s="102">
        <v>5</v>
      </c>
      <c r="C29" s="139">
        <f>C28</f>
        <v>4771.0295999999998</v>
      </c>
      <c r="D29" s="104" t="e">
        <f>#REF!</f>
        <v>#REF!</v>
      </c>
      <c r="E29" s="104" t="e">
        <f>SUM(C29*D29*1.4*1.15*1.1*1.12)*1.31</f>
        <v>#REF!</v>
      </c>
      <c r="I29" s="104" t="e">
        <f>E29*1.232*0.76336</f>
        <v>#REF!</v>
      </c>
    </row>
    <row r="30" spans="1:9" ht="38.25">
      <c r="A30" s="101" t="s">
        <v>210</v>
      </c>
      <c r="B30" s="102">
        <v>5</v>
      </c>
      <c r="C30" s="139">
        <f>C29</f>
        <v>4771.0295999999998</v>
      </c>
      <c r="D30" s="104" t="e">
        <f>#REF!</f>
        <v>#REF!</v>
      </c>
      <c r="E30" s="104" t="e">
        <f>SUM(C30*D30*1.4*1.15*1.1*1.12)*1.31</f>
        <v>#REF!</v>
      </c>
      <c r="I30" s="104" t="e">
        <f>E30*1.232*0.76336</f>
        <v>#REF!</v>
      </c>
    </row>
    <row r="31" spans="1:9">
      <c r="A31" s="106" t="s">
        <v>200</v>
      </c>
      <c r="B31" s="102"/>
      <c r="C31" s="102"/>
      <c r="D31" s="104" t="e">
        <f t="shared" ref="D31:I31" si="4">SUM(D28:D30)</f>
        <v>#REF!</v>
      </c>
      <c r="E31" s="104" t="e">
        <f t="shared" si="4"/>
        <v>#REF!</v>
      </c>
      <c r="F31" s="104">
        <f t="shared" si="4"/>
        <v>0</v>
      </c>
      <c r="G31" s="104">
        <f t="shared" si="4"/>
        <v>0</v>
      </c>
      <c r="H31" s="104">
        <f t="shared" si="4"/>
        <v>0</v>
      </c>
      <c r="I31" s="104" t="e">
        <f t="shared" si="4"/>
        <v>#REF!</v>
      </c>
    </row>
    <row r="32" spans="1:9">
      <c r="A32" s="42" t="s">
        <v>201</v>
      </c>
      <c r="B32" s="102"/>
      <c r="C32" s="102"/>
      <c r="D32" s="71"/>
      <c r="E32" s="104" t="e">
        <f>SUM(E31*12)*1.07</f>
        <v>#REF!</v>
      </c>
      <c r="F32" s="104">
        <f>SUM(F31*12)*1.07</f>
        <v>0</v>
      </c>
      <c r="G32" s="104">
        <f>SUM(G31*12)*1.07</f>
        <v>0</v>
      </c>
      <c r="H32" s="104">
        <f>SUM(H31*12)*1.07</f>
        <v>0</v>
      </c>
      <c r="I32" s="104" t="e">
        <f>SUM(I31*12)*1.07</f>
        <v>#REF!</v>
      </c>
    </row>
    <row r="33" spans="1:9">
      <c r="A33" s="507" t="s">
        <v>111</v>
      </c>
      <c r="B33" s="508"/>
      <c r="C33" s="102"/>
      <c r="D33" s="71"/>
      <c r="E33" s="104" t="e">
        <f>SUM(E32*0.342)</f>
        <v>#REF!</v>
      </c>
      <c r="F33" s="104">
        <f>SUM(F32*0.342)</f>
        <v>0</v>
      </c>
      <c r="G33" s="104">
        <f>SUM(G32*0.342)</f>
        <v>0</v>
      </c>
      <c r="H33" s="104">
        <f>SUM(H32*0.342)</f>
        <v>0</v>
      </c>
      <c r="I33" s="104" t="e">
        <f>SUM(I32*0.342)</f>
        <v>#REF!</v>
      </c>
    </row>
    <row r="34" spans="1:9">
      <c r="A34" s="108"/>
      <c r="B34" s="109"/>
      <c r="C34" s="102"/>
      <c r="D34" s="71"/>
      <c r="E34" s="104"/>
    </row>
    <row r="35" spans="1:9">
      <c r="A35" s="110" t="s">
        <v>211</v>
      </c>
      <c r="B35" s="102"/>
      <c r="C35" s="102"/>
      <c r="D35" s="111" t="e">
        <f t="shared" ref="D35:I37" si="5">SUM(D31+D24)</f>
        <v>#REF!</v>
      </c>
      <c r="E35" s="111" t="e">
        <f t="shared" si="5"/>
        <v>#REF!</v>
      </c>
      <c r="F35" s="111">
        <f t="shared" si="5"/>
        <v>0</v>
      </c>
      <c r="G35" s="111">
        <f t="shared" si="5"/>
        <v>0</v>
      </c>
      <c r="H35" s="111">
        <f t="shared" si="5"/>
        <v>0</v>
      </c>
      <c r="I35" s="111" t="e">
        <f t="shared" si="5"/>
        <v>#REF!</v>
      </c>
    </row>
    <row r="36" spans="1:9">
      <c r="A36" s="110" t="s">
        <v>212</v>
      </c>
      <c r="B36" s="102"/>
      <c r="C36" s="102"/>
      <c r="D36" s="111"/>
      <c r="E36" s="111" t="e">
        <f t="shared" si="5"/>
        <v>#REF!</v>
      </c>
      <c r="F36" s="111">
        <f t="shared" si="5"/>
        <v>0</v>
      </c>
      <c r="G36" s="111">
        <f t="shared" si="5"/>
        <v>0</v>
      </c>
      <c r="H36" s="111">
        <f t="shared" si="5"/>
        <v>0</v>
      </c>
      <c r="I36" s="111" t="e">
        <f t="shared" si="5"/>
        <v>#REF!</v>
      </c>
    </row>
    <row r="37" spans="1:9" ht="12.75" customHeight="1">
      <c r="A37" s="509" t="s">
        <v>213</v>
      </c>
      <c r="B37" s="510"/>
      <c r="C37" s="511"/>
      <c r="D37" s="111"/>
      <c r="E37" s="111" t="e">
        <f t="shared" si="5"/>
        <v>#REF!</v>
      </c>
      <c r="F37" s="111">
        <f t="shared" si="5"/>
        <v>0</v>
      </c>
      <c r="G37" s="111">
        <f t="shared" si="5"/>
        <v>0</v>
      </c>
      <c r="H37" s="111">
        <f t="shared" si="5"/>
        <v>0</v>
      </c>
      <c r="I37" s="111" t="e">
        <f t="shared" si="5"/>
        <v>#REF!</v>
      </c>
    </row>
    <row r="38" spans="1:9" ht="3.75" customHeight="1">
      <c r="A38" s="112"/>
      <c r="B38" s="113"/>
      <c r="C38" s="113"/>
      <c r="D38" s="114"/>
      <c r="E38" s="114"/>
    </row>
    <row r="39" spans="1:9">
      <c r="A39" s="512" t="s">
        <v>123</v>
      </c>
      <c r="B39" s="512"/>
      <c r="C39" s="512"/>
      <c r="D39" s="114"/>
      <c r="E39" s="114"/>
    </row>
    <row r="40" spans="1:9">
      <c r="A40" s="115" t="s">
        <v>214</v>
      </c>
      <c r="B40" s="113"/>
      <c r="C40" s="113"/>
      <c r="D40" s="114"/>
      <c r="E40" s="114"/>
    </row>
    <row r="41" spans="1:9">
      <c r="A41" s="115" t="s">
        <v>215</v>
      </c>
      <c r="B41" s="113"/>
      <c r="C41" s="113"/>
      <c r="D41" s="114"/>
      <c r="E41" s="114"/>
    </row>
    <row r="42" spans="1:9">
      <c r="A42" s="115" t="s">
        <v>127</v>
      </c>
      <c r="B42" s="113"/>
      <c r="C42" s="113"/>
      <c r="D42" s="114"/>
      <c r="E42" s="114"/>
    </row>
    <row r="43" spans="1:9">
      <c r="A43" t="s">
        <v>216</v>
      </c>
    </row>
    <row r="44" spans="1:9">
      <c r="A44" t="s">
        <v>217</v>
      </c>
    </row>
    <row r="45" spans="1:9">
      <c r="A45" t="s">
        <v>218</v>
      </c>
    </row>
    <row r="46" spans="1:9">
      <c r="A46" t="s">
        <v>219</v>
      </c>
    </row>
    <row r="47" spans="1:9">
      <c r="A47" t="s">
        <v>220</v>
      </c>
    </row>
    <row r="49" spans="1:8">
      <c r="A49" s="486" t="s">
        <v>175</v>
      </c>
      <c r="B49" s="486"/>
      <c r="C49" s="486"/>
      <c r="D49" s="486"/>
      <c r="E49" s="486"/>
      <c r="F49" s="486"/>
      <c r="G49" s="486"/>
      <c r="H49" s="486"/>
    </row>
    <row r="115" spans="1:15" ht="28.5" customHeight="1"/>
    <row r="126" spans="1:15">
      <c r="A126" s="519"/>
      <c r="B126" s="519"/>
      <c r="C126" s="519"/>
      <c r="D126" s="518"/>
      <c r="E126" s="55"/>
      <c r="F126" s="518"/>
      <c r="G126" s="518"/>
      <c r="H126" s="518"/>
      <c r="I126" s="55"/>
      <c r="J126" s="55"/>
      <c r="K126" s="55"/>
      <c r="L126" s="55"/>
      <c r="M126" s="55"/>
      <c r="N126" s="55"/>
      <c r="O126" s="55"/>
    </row>
    <row r="127" spans="1:15">
      <c r="A127" s="519"/>
      <c r="B127" s="519"/>
      <c r="C127" s="519"/>
      <c r="D127" s="518"/>
      <c r="E127" s="55"/>
      <c r="F127" s="518"/>
      <c r="G127" s="518"/>
      <c r="H127" s="518"/>
      <c r="I127" s="55"/>
      <c r="J127" s="55"/>
      <c r="K127" s="55"/>
      <c r="L127" s="55"/>
      <c r="M127" s="55"/>
      <c r="N127" s="55"/>
      <c r="O127" s="55"/>
    </row>
    <row r="128" spans="1: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>
      <c r="A138" s="55"/>
      <c r="B138" s="55"/>
      <c r="C138" s="55"/>
      <c r="D138" s="55"/>
    </row>
    <row r="139" spans="1:15">
      <c r="A139" s="55"/>
      <c r="B139" s="55"/>
      <c r="C139" s="55"/>
      <c r="D139" s="55"/>
    </row>
    <row r="140" spans="1:15">
      <c r="A140" s="55"/>
      <c r="B140" s="55"/>
      <c r="C140" s="55"/>
      <c r="D140" s="55"/>
    </row>
    <row r="141" spans="1:15">
      <c r="A141" s="55"/>
      <c r="B141" s="55"/>
      <c r="C141" s="55"/>
      <c r="D141" s="55"/>
    </row>
    <row r="142" spans="1:15">
      <c r="A142" s="55"/>
      <c r="B142" s="55"/>
      <c r="C142" s="55"/>
      <c r="D142" s="55"/>
    </row>
    <row r="143" spans="1:15">
      <c r="A143" s="55"/>
      <c r="B143" s="55"/>
      <c r="C143" s="55"/>
      <c r="D143" s="55"/>
    </row>
    <row r="144" spans="1:15">
      <c r="A144" s="55"/>
      <c r="B144" s="55"/>
      <c r="C144" s="55"/>
      <c r="D144" s="55"/>
    </row>
    <row r="145" spans="1:4">
      <c r="A145" s="55"/>
      <c r="B145" s="55"/>
      <c r="C145" s="55"/>
      <c r="D145" s="55"/>
    </row>
    <row r="146" spans="1:4">
      <c r="A146" s="55"/>
      <c r="B146" s="55"/>
      <c r="C146" s="55"/>
      <c r="D146" s="55"/>
    </row>
    <row r="147" spans="1:4">
      <c r="A147" s="55"/>
      <c r="B147" s="55"/>
      <c r="C147" s="55"/>
      <c r="D147" s="55"/>
    </row>
  </sheetData>
  <mergeCells count="15">
    <mergeCell ref="F126:F127"/>
    <mergeCell ref="G126:G127"/>
    <mergeCell ref="H126:H127"/>
    <mergeCell ref="A126:A127"/>
    <mergeCell ref="B126:B127"/>
    <mergeCell ref="C126:C127"/>
    <mergeCell ref="D126:D127"/>
    <mergeCell ref="A33:B33"/>
    <mergeCell ref="A37:C37"/>
    <mergeCell ref="A39:C39"/>
    <mergeCell ref="A49:H49"/>
    <mergeCell ref="A4:E4"/>
    <mergeCell ref="A7:D7"/>
    <mergeCell ref="A26:B26"/>
    <mergeCell ref="A27:D27"/>
  </mergeCells>
  <phoneticPr fontId="2" type="noConversion"/>
  <pageMargins left="0.78740157480314965" right="0.78740157480314965" top="0.19685039370078741" bottom="0.19685039370078741" header="0.51181102362204722" footer="0.51181102362204722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8"/>
  <sheetViews>
    <sheetView workbookViewId="0">
      <pane xSplit="4" ySplit="7" topLeftCell="K8" activePane="bottomRight" state="frozen"/>
      <selection pane="topRight" activeCell="E1" sqref="E1"/>
      <selection pane="bottomLeft" activeCell="A8" sqref="A8"/>
      <selection pane="bottomRight" activeCell="R9" sqref="R9"/>
    </sheetView>
  </sheetViews>
  <sheetFormatPr defaultRowHeight="12.75"/>
  <cols>
    <col min="1" max="1" width="6.28515625" customWidth="1"/>
    <col min="4" max="4" width="9" customWidth="1"/>
    <col min="5" max="5" width="7.28515625" customWidth="1"/>
    <col min="6" max="6" width="10.28515625" hidden="1" customWidth="1"/>
    <col min="7" max="8" width="9.140625" hidden="1" customWidth="1"/>
    <col min="9" max="9" width="8.85546875" hidden="1" customWidth="1"/>
    <col min="10" max="10" width="10.7109375" customWidth="1"/>
    <col min="13" max="13" width="8.28515625" customWidth="1"/>
    <col min="14" max="14" width="8.85546875" customWidth="1"/>
    <col min="16" max="16" width="9.42578125" bestFit="1" customWidth="1"/>
  </cols>
  <sheetData>
    <row r="1" spans="1:25" ht="15.75">
      <c r="A1" s="473" t="s">
        <v>133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25" ht="16.5" thickBot="1">
      <c r="A2" s="534" t="s">
        <v>121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t="s">
        <v>330</v>
      </c>
    </row>
    <row r="3" spans="1:25" ht="15" customHeight="1">
      <c r="A3" s="535" t="s">
        <v>87</v>
      </c>
      <c r="B3" s="538" t="s">
        <v>88</v>
      </c>
      <c r="C3" s="539"/>
      <c r="D3" s="540"/>
      <c r="E3" s="545" t="s">
        <v>89</v>
      </c>
      <c r="F3" s="548" t="s">
        <v>102</v>
      </c>
      <c r="G3" s="521"/>
      <c r="H3" s="521"/>
      <c r="I3" s="522"/>
      <c r="J3" s="520" t="s">
        <v>103</v>
      </c>
      <c r="K3" s="521"/>
      <c r="L3" s="521"/>
      <c r="M3" s="522"/>
      <c r="N3" s="520" t="s">
        <v>104</v>
      </c>
      <c r="O3" s="521"/>
      <c r="P3" s="521"/>
      <c r="Q3" s="522"/>
      <c r="R3" s="520" t="s">
        <v>391</v>
      </c>
      <c r="S3" s="521"/>
      <c r="T3" s="521"/>
      <c r="U3" s="522"/>
      <c r="V3" s="520" t="s">
        <v>392</v>
      </c>
      <c r="W3" s="521"/>
      <c r="X3" s="521"/>
      <c r="Y3" s="522"/>
    </row>
    <row r="4" spans="1:25" ht="14.25" customHeight="1">
      <c r="A4" s="536"/>
      <c r="B4" s="541"/>
      <c r="C4" s="542"/>
      <c r="D4" s="524"/>
      <c r="E4" s="546"/>
      <c r="F4" s="552" t="s">
        <v>90</v>
      </c>
      <c r="G4" s="526" t="s">
        <v>91</v>
      </c>
      <c r="H4" s="529" t="s">
        <v>92</v>
      </c>
      <c r="I4" s="531" t="s">
        <v>93</v>
      </c>
      <c r="J4" s="523" t="s">
        <v>90</v>
      </c>
      <c r="K4" s="526" t="s">
        <v>91</v>
      </c>
      <c r="L4" s="529" t="s">
        <v>92</v>
      </c>
      <c r="M4" s="531" t="s">
        <v>93</v>
      </c>
      <c r="N4" s="523" t="s">
        <v>90</v>
      </c>
      <c r="O4" s="526" t="s">
        <v>91</v>
      </c>
      <c r="P4" s="529" t="s">
        <v>92</v>
      </c>
      <c r="Q4" s="531" t="s">
        <v>93</v>
      </c>
      <c r="R4" s="523" t="s">
        <v>90</v>
      </c>
      <c r="S4" s="526" t="s">
        <v>91</v>
      </c>
      <c r="T4" s="529" t="s">
        <v>92</v>
      </c>
      <c r="U4" s="531" t="s">
        <v>93</v>
      </c>
      <c r="V4" s="523" t="s">
        <v>90</v>
      </c>
      <c r="W4" s="526" t="s">
        <v>91</v>
      </c>
      <c r="X4" s="529" t="s">
        <v>92</v>
      </c>
      <c r="Y4" s="531" t="s">
        <v>93</v>
      </c>
    </row>
    <row r="5" spans="1:25">
      <c r="A5" s="536"/>
      <c r="B5" s="541"/>
      <c r="C5" s="542"/>
      <c r="D5" s="524"/>
      <c r="E5" s="546"/>
      <c r="F5" s="536"/>
      <c r="G5" s="527"/>
      <c r="H5" s="529"/>
      <c r="I5" s="532"/>
      <c r="J5" s="524"/>
      <c r="K5" s="527"/>
      <c r="L5" s="529"/>
      <c r="M5" s="532"/>
      <c r="N5" s="524"/>
      <c r="O5" s="527"/>
      <c r="P5" s="529"/>
      <c r="Q5" s="532"/>
      <c r="R5" s="524"/>
      <c r="S5" s="527"/>
      <c r="T5" s="529"/>
      <c r="U5" s="532"/>
      <c r="V5" s="524"/>
      <c r="W5" s="527"/>
      <c r="X5" s="529"/>
      <c r="Y5" s="532"/>
    </row>
    <row r="6" spans="1:25" ht="25.5" customHeight="1" thickBot="1">
      <c r="A6" s="537"/>
      <c r="B6" s="543"/>
      <c r="C6" s="544"/>
      <c r="D6" s="525"/>
      <c r="E6" s="547"/>
      <c r="F6" s="537"/>
      <c r="G6" s="528"/>
      <c r="H6" s="530"/>
      <c r="I6" s="533"/>
      <c r="J6" s="525"/>
      <c r="K6" s="528"/>
      <c r="L6" s="530"/>
      <c r="M6" s="533"/>
      <c r="N6" s="525"/>
      <c r="O6" s="528"/>
      <c r="P6" s="530"/>
      <c r="Q6" s="533"/>
      <c r="R6" s="525"/>
      <c r="S6" s="528"/>
      <c r="T6" s="530"/>
      <c r="U6" s="533"/>
      <c r="V6" s="525"/>
      <c r="W6" s="528"/>
      <c r="X6" s="530"/>
      <c r="Y6" s="533"/>
    </row>
    <row r="7" spans="1:25" ht="15" hidden="1">
      <c r="A7" s="218"/>
      <c r="B7" s="219"/>
      <c r="C7" s="220"/>
      <c r="D7" s="221"/>
      <c r="E7" s="222"/>
      <c r="F7" s="218"/>
      <c r="G7" s="223"/>
      <c r="H7" s="224"/>
      <c r="I7" s="225"/>
      <c r="J7" s="226"/>
      <c r="K7" s="227"/>
      <c r="L7" s="227"/>
      <c r="M7" s="228"/>
      <c r="N7" s="229"/>
      <c r="O7" s="230"/>
      <c r="P7" s="230"/>
      <c r="Q7" s="228"/>
      <c r="R7" s="229"/>
      <c r="S7" s="230"/>
      <c r="T7" s="230"/>
      <c r="U7" s="228"/>
      <c r="V7" s="229"/>
      <c r="W7" s="230"/>
      <c r="X7" s="230"/>
      <c r="Y7" s="228"/>
    </row>
    <row r="8" spans="1:25" ht="14.25">
      <c r="A8" s="231"/>
      <c r="B8" s="549" t="s">
        <v>94</v>
      </c>
      <c r="C8" s="550"/>
      <c r="D8" s="551"/>
      <c r="E8" s="232" t="s">
        <v>176</v>
      </c>
      <c r="F8" s="233">
        <v>137574.6</v>
      </c>
      <c r="G8" s="234" t="e">
        <f>SUM(H8/F8/12*1000)</f>
        <v>#REF!</v>
      </c>
      <c r="H8" s="235" t="e">
        <f>SUM(H9+H21+H28+H33+H34+H47)</f>
        <v>#REF!</v>
      </c>
      <c r="I8" s="232" t="e">
        <f>H8/12/F8*1000</f>
        <v>#REF!</v>
      </c>
      <c r="J8" s="236">
        <f>J9</f>
        <v>136568.20000000001</v>
      </c>
      <c r="K8" s="234">
        <f t="shared" ref="K8:K13" si="0">SUM(L8/J8/12*1000)</f>
        <v>7.968143389163802</v>
      </c>
      <c r="L8" s="237">
        <f>L9+L21+L28+L33+L34+L47</f>
        <v>13058.34</v>
      </c>
      <c r="M8" s="238">
        <f>L8/12/J8*1000</f>
        <v>7.9681433891638003</v>
      </c>
      <c r="N8" s="239">
        <f>табл.1!I10*1000</f>
        <v>139832.60000000003</v>
      </c>
      <c r="O8" s="234" t="e">
        <f>SUM(P8/N8/12*1000)</f>
        <v>#REF!</v>
      </c>
      <c r="P8" s="234" t="e">
        <f>P9+P21+P28+P33+P34+P47</f>
        <v>#REF!</v>
      </c>
      <c r="Q8" s="238" t="e">
        <f>P8/12/N8*1000</f>
        <v>#REF!</v>
      </c>
      <c r="R8" s="239" t="e">
        <f>#REF!*1000</f>
        <v>#REF!</v>
      </c>
      <c r="S8" s="234" t="e">
        <f>SUM(T8/R8/12*1000)</f>
        <v>#REF!</v>
      </c>
      <c r="T8" s="234" t="e">
        <f>T9+T21+T28+T33+T34+T47</f>
        <v>#REF!</v>
      </c>
      <c r="U8" s="238" t="e">
        <f>T8/12/R8*1000</f>
        <v>#REF!</v>
      </c>
      <c r="V8" s="239">
        <f>табл.1!Q10*1000</f>
        <v>0</v>
      </c>
      <c r="W8" s="234" t="e">
        <f>SUM(X8/V8/12*1000)</f>
        <v>#REF!</v>
      </c>
      <c r="X8" s="234" t="e">
        <f>X9+X21+X28+X33+X34+X47</f>
        <v>#REF!</v>
      </c>
      <c r="Y8" s="238" t="e">
        <f>X8/12/V8*1000</f>
        <v>#REF!</v>
      </c>
    </row>
    <row r="9" spans="1:25" ht="30" customHeight="1">
      <c r="A9" s="231">
        <v>1</v>
      </c>
      <c r="B9" s="557" t="s">
        <v>95</v>
      </c>
      <c r="C9" s="558"/>
      <c r="D9" s="559"/>
      <c r="E9" s="240"/>
      <c r="F9" s="241">
        <f>SUM(F11:F20)</f>
        <v>137574.6</v>
      </c>
      <c r="G9" s="273">
        <f>SUM(H9/F9/12*1000)</f>
        <v>2.688572502966875</v>
      </c>
      <c r="H9" s="242">
        <f>SUM(H10:H20)</f>
        <v>4438.5514400000002</v>
      </c>
      <c r="I9" s="238">
        <f>H9/12/F8*1000</f>
        <v>2.6885725029668754</v>
      </c>
      <c r="J9" s="243">
        <f>J10+J12+J13</f>
        <v>136568.20000000001</v>
      </c>
      <c r="K9" s="273">
        <f t="shared" si="0"/>
        <v>1.6420977455464252</v>
      </c>
      <c r="L9" s="243">
        <f>L10+L12+L13+L11+L14+L15+L16+L17+L18+L19+L20</f>
        <v>2691.1</v>
      </c>
      <c r="M9" s="238">
        <f t="shared" ref="M9:M14" si="1">L9/12/J8*1000</f>
        <v>1.6420977455464252</v>
      </c>
      <c r="N9" s="293">
        <f>N8</f>
        <v>139832.60000000003</v>
      </c>
      <c r="O9" s="273" t="e">
        <f>SUM(P9/N9/12*1000)</f>
        <v>#REF!</v>
      </c>
      <c r="P9" s="243" t="e">
        <f>#REF!</f>
        <v>#REF!</v>
      </c>
      <c r="Q9" s="238" t="e">
        <f t="shared" ref="Q9:Q14" si="2">P9/12/N8*1000</f>
        <v>#REF!</v>
      </c>
      <c r="R9" s="293" t="e">
        <f>R8</f>
        <v>#REF!</v>
      </c>
      <c r="S9" s="273" t="e">
        <f>SUM(T9/R9/12*1000)</f>
        <v>#REF!</v>
      </c>
      <c r="T9" s="243" t="e">
        <f>#REF!</f>
        <v>#REF!</v>
      </c>
      <c r="U9" s="238" t="e">
        <f t="shared" ref="U9:U14" si="3">T9/12/R8*1000</f>
        <v>#REF!</v>
      </c>
      <c r="V9" s="293">
        <f>V8</f>
        <v>0</v>
      </c>
      <c r="W9" s="273" t="e">
        <f>SUM(X9/V9/12*1000)</f>
        <v>#REF!</v>
      </c>
      <c r="X9" s="243" t="e">
        <f>#REF!</f>
        <v>#REF!</v>
      </c>
      <c r="Y9" s="238" t="e">
        <f t="shared" ref="Y9:Y14" si="4">X9/12/V8*1000</f>
        <v>#REF!</v>
      </c>
    </row>
    <row r="10" spans="1:25" ht="15">
      <c r="A10" s="231"/>
      <c r="B10" s="560" t="s">
        <v>96</v>
      </c>
      <c r="C10" s="561"/>
      <c r="D10" s="562"/>
      <c r="E10" s="240"/>
      <c r="F10" s="244">
        <f>F11</f>
        <v>80271.3</v>
      </c>
      <c r="G10" s="245">
        <v>1.1100000000000001</v>
      </c>
      <c r="H10" s="264">
        <f>SUM(F10*G10*12/1000)</f>
        <v>1069.213716</v>
      </c>
      <c r="I10" s="240">
        <f>H10/12/F8*1000</f>
        <v>0.64765692940411956</v>
      </c>
      <c r="J10" s="245">
        <f>79796.8+214</f>
        <v>80010.8</v>
      </c>
      <c r="K10" s="246">
        <f t="shared" si="0"/>
        <v>1.0808957457409913</v>
      </c>
      <c r="L10" s="247">
        <v>1037.8</v>
      </c>
      <c r="M10" s="240">
        <f t="shared" si="1"/>
        <v>0.6332611349738323</v>
      </c>
      <c r="N10" s="248">
        <f>N11</f>
        <v>83275.199999999997</v>
      </c>
      <c r="O10" s="249">
        <v>1.2</v>
      </c>
      <c r="P10" s="249">
        <f>N10*O10*12/1000</f>
        <v>1199.1628799999999</v>
      </c>
      <c r="Q10" s="240">
        <f t="shared" si="2"/>
        <v>0.7146419361436458</v>
      </c>
      <c r="R10" s="248">
        <f>R11</f>
        <v>86539.599999999991</v>
      </c>
      <c r="S10" s="249">
        <v>1.2</v>
      </c>
      <c r="T10" s="249">
        <f>R10*S10*12/1000</f>
        <v>1246.1702399999997</v>
      </c>
      <c r="U10" s="240" t="e">
        <f t="shared" si="3"/>
        <v>#REF!</v>
      </c>
      <c r="V10" s="248">
        <f>V11</f>
        <v>89803.999999999985</v>
      </c>
      <c r="W10" s="249">
        <v>1.2</v>
      </c>
      <c r="X10" s="249">
        <f>V10*W10*12/1000</f>
        <v>1293.1775999999995</v>
      </c>
      <c r="Y10" s="240" t="e">
        <f t="shared" si="4"/>
        <v>#DIV/0!</v>
      </c>
    </row>
    <row r="11" spans="1:25">
      <c r="A11" s="250"/>
      <c r="B11" s="554" t="s">
        <v>116</v>
      </c>
      <c r="C11" s="555"/>
      <c r="D11" s="556"/>
      <c r="E11" s="240"/>
      <c r="F11" s="244">
        <f>F24</f>
        <v>80271.3</v>
      </c>
      <c r="G11" s="245">
        <v>0.17</v>
      </c>
      <c r="H11" s="264">
        <f>SUM(F11*G11*12/1000)</f>
        <v>163.75345200000001</v>
      </c>
      <c r="I11" s="240">
        <f>H11/12/F8*1000</f>
        <v>9.9190700899730033E-2</v>
      </c>
      <c r="J11" s="245">
        <f>J10</f>
        <v>80010.8</v>
      </c>
      <c r="K11" s="246">
        <f t="shared" si="0"/>
        <v>0.16997705309783176</v>
      </c>
      <c r="L11" s="247">
        <v>163.19999999999999</v>
      </c>
      <c r="M11" s="240">
        <f t="shared" si="1"/>
        <v>0.16997705309783176</v>
      </c>
      <c r="N11" s="248">
        <f>J11-214+856.4+1284.6+967.2+312.7+57.5</f>
        <v>83275.199999999997</v>
      </c>
      <c r="O11" s="254">
        <v>0.23</v>
      </c>
      <c r="P11" s="249">
        <f>N11*O11*12/1000</f>
        <v>229.83955199999997</v>
      </c>
      <c r="Q11" s="240">
        <f t="shared" si="2"/>
        <v>0.22999999999999998</v>
      </c>
      <c r="R11" s="248">
        <f>N11-214+856.4+1284.6+967.2+312.7+57.5</f>
        <v>86539.599999999991</v>
      </c>
      <c r="S11" s="254">
        <v>0.23</v>
      </c>
      <c r="T11" s="249">
        <f>R11*S11*12/1000</f>
        <v>238.84929600000001</v>
      </c>
      <c r="U11" s="240">
        <f t="shared" si="3"/>
        <v>0.23000000000000004</v>
      </c>
      <c r="V11" s="248">
        <f>R11-214+856.4+1284.6+967.2+312.7+57.5</f>
        <v>89803.999999999985</v>
      </c>
      <c r="W11" s="254">
        <v>0.23</v>
      </c>
      <c r="X11" s="249">
        <f>V11*W11*12/1000</f>
        <v>247.85903999999999</v>
      </c>
      <c r="Y11" s="240">
        <f t="shared" si="4"/>
        <v>0.23000000000000004</v>
      </c>
    </row>
    <row r="12" spans="1:25">
      <c r="A12" s="250"/>
      <c r="B12" s="553" t="s">
        <v>118</v>
      </c>
      <c r="C12" s="553"/>
      <c r="D12" s="553"/>
      <c r="E12" s="255"/>
      <c r="F12" s="256">
        <f>F22</f>
        <v>33035.200000000004</v>
      </c>
      <c r="G12" s="257">
        <v>1.32</v>
      </c>
      <c r="H12" s="264">
        <f>SUM(F12*G12*12/1000)</f>
        <v>523.27756800000009</v>
      </c>
      <c r="I12" s="240">
        <f>H12/12/F8*1000</f>
        <v>0.31696595156373347</v>
      </c>
      <c r="J12" s="245">
        <v>29236.5</v>
      </c>
      <c r="K12" s="246">
        <f t="shared" si="0"/>
        <v>0.20037738215358653</v>
      </c>
      <c r="L12" s="247">
        <v>70.3</v>
      </c>
      <c r="M12" s="240">
        <f t="shared" si="1"/>
        <v>7.3219282063588076E-2</v>
      </c>
      <c r="N12" s="248">
        <f>J12</f>
        <v>29236.5</v>
      </c>
      <c r="O12" s="254">
        <v>1.49</v>
      </c>
      <c r="P12" s="249">
        <f>N12*O12*12/1000</f>
        <v>522.74861999999996</v>
      </c>
      <c r="Q12" s="240">
        <f t="shared" si="2"/>
        <v>0.52311354400830012</v>
      </c>
      <c r="R12" s="248">
        <f>N12</f>
        <v>29236.5</v>
      </c>
      <c r="S12" s="254">
        <v>1.49</v>
      </c>
      <c r="T12" s="249">
        <f>R12*S12*12/1000</f>
        <v>522.74861999999996</v>
      </c>
      <c r="U12" s="240">
        <f t="shared" si="3"/>
        <v>0.50338093774410797</v>
      </c>
      <c r="V12" s="248">
        <f>R12</f>
        <v>29236.5</v>
      </c>
      <c r="W12" s="254">
        <v>1.49</v>
      </c>
      <c r="X12" s="249">
        <f>V12*W12*12/1000</f>
        <v>522.74861999999996</v>
      </c>
      <c r="Y12" s="240">
        <f t="shared" si="4"/>
        <v>0.48508290276602384</v>
      </c>
    </row>
    <row r="13" spans="1:25">
      <c r="A13" s="250"/>
      <c r="B13" s="553" t="s">
        <v>117</v>
      </c>
      <c r="C13" s="553"/>
      <c r="D13" s="553"/>
      <c r="E13" s="255"/>
      <c r="F13" s="258">
        <f>F23</f>
        <v>24268.100000000006</v>
      </c>
      <c r="G13" s="257">
        <v>1.32</v>
      </c>
      <c r="H13" s="264">
        <f>SUM(F13*G13*12/1000)</f>
        <v>384.40670400000016</v>
      </c>
      <c r="I13" s="240">
        <f>H13/12/F8*1000</f>
        <v>0.23284742968542169</v>
      </c>
      <c r="J13" s="245">
        <v>27320.9</v>
      </c>
      <c r="K13" s="246">
        <f t="shared" si="0"/>
        <v>0.15250839711234501</v>
      </c>
      <c r="L13" s="247">
        <v>50</v>
      </c>
      <c r="M13" s="240">
        <f t="shared" si="1"/>
        <v>0.14251591902815547</v>
      </c>
      <c r="N13" s="248">
        <f>J13</f>
        <v>27320.9</v>
      </c>
      <c r="O13" s="254">
        <v>1.49</v>
      </c>
      <c r="P13" s="249">
        <f>N13*O13*12/1000</f>
        <v>488.49769200000003</v>
      </c>
      <c r="Q13" s="240">
        <f t="shared" si="2"/>
        <v>1.3923739503702566</v>
      </c>
      <c r="R13" s="248">
        <f>N13</f>
        <v>27320.9</v>
      </c>
      <c r="S13" s="254">
        <v>1.49</v>
      </c>
      <c r="T13" s="249">
        <f>R13*S13*12/1000</f>
        <v>488.49769200000003</v>
      </c>
      <c r="U13" s="240">
        <f t="shared" si="3"/>
        <v>1.3923739503702566</v>
      </c>
      <c r="V13" s="248">
        <f>R13</f>
        <v>27320.9</v>
      </c>
      <c r="W13" s="254">
        <v>1.49</v>
      </c>
      <c r="X13" s="249">
        <f>V13*W13*12/1000</f>
        <v>488.49769200000003</v>
      </c>
      <c r="Y13" s="240">
        <f t="shared" si="4"/>
        <v>1.3923739503702566</v>
      </c>
    </row>
    <row r="14" spans="1:25">
      <c r="A14" s="250"/>
      <c r="B14" s="554" t="s">
        <v>97</v>
      </c>
      <c r="C14" s="555"/>
      <c r="D14" s="556"/>
      <c r="E14" s="255"/>
      <c r="F14" s="258"/>
      <c r="G14" s="259"/>
      <c r="H14" s="264">
        <v>40</v>
      </c>
      <c r="I14" s="240">
        <f>H14/12/F8*1000</f>
        <v>2.4229278757367519E-2</v>
      </c>
      <c r="J14" s="245"/>
      <c r="K14" s="247"/>
      <c r="L14" s="247">
        <v>33.6</v>
      </c>
      <c r="M14" s="240">
        <f t="shared" si="1"/>
        <v>0.10248564285949585</v>
      </c>
      <c r="N14" s="260"/>
      <c r="O14" s="261"/>
      <c r="P14" s="249">
        <v>45</v>
      </c>
      <c r="Q14" s="240">
        <f t="shared" si="2"/>
        <v>0.13725755740111048</v>
      </c>
      <c r="R14" s="260"/>
      <c r="S14" s="261"/>
      <c r="T14" s="249">
        <v>45</v>
      </c>
      <c r="U14" s="240">
        <f t="shared" si="3"/>
        <v>0.13725755740111048</v>
      </c>
      <c r="V14" s="260"/>
      <c r="W14" s="261"/>
      <c r="X14" s="249">
        <v>45</v>
      </c>
      <c r="Y14" s="240">
        <f t="shared" si="4"/>
        <v>0.13725755740111048</v>
      </c>
    </row>
    <row r="15" spans="1:25" ht="13.5" customHeight="1">
      <c r="A15" s="250"/>
      <c r="B15" s="554" t="s">
        <v>311</v>
      </c>
      <c r="C15" s="555"/>
      <c r="D15" s="556"/>
      <c r="E15" s="255"/>
      <c r="F15" s="258"/>
      <c r="G15" s="259"/>
      <c r="H15" s="264"/>
      <c r="I15" s="240"/>
      <c r="J15" s="245"/>
      <c r="K15" s="247"/>
      <c r="L15" s="247">
        <v>87.5</v>
      </c>
      <c r="M15" s="240"/>
      <c r="N15" s="260"/>
      <c r="O15" s="261"/>
      <c r="P15" s="261"/>
      <c r="Q15" s="255"/>
      <c r="R15" s="260"/>
      <c r="S15" s="261"/>
      <c r="T15" s="261"/>
      <c r="U15" s="255"/>
      <c r="V15" s="260"/>
      <c r="W15" s="261"/>
      <c r="X15" s="261"/>
      <c r="Y15" s="255"/>
    </row>
    <row r="16" spans="1:25">
      <c r="A16" s="250"/>
      <c r="B16" s="554" t="s">
        <v>312</v>
      </c>
      <c r="C16" s="555"/>
      <c r="D16" s="556"/>
      <c r="E16" s="255"/>
      <c r="F16" s="258"/>
      <c r="G16" s="259"/>
      <c r="H16" s="264"/>
      <c r="I16" s="240"/>
      <c r="J16" s="245"/>
      <c r="K16" s="247"/>
      <c r="L16" s="247">
        <v>307.2</v>
      </c>
      <c r="M16" s="240"/>
      <c r="N16" s="260"/>
      <c r="O16" s="261"/>
      <c r="P16" s="261"/>
      <c r="Q16" s="255"/>
      <c r="R16" s="260"/>
      <c r="S16" s="261"/>
      <c r="T16" s="261"/>
      <c r="U16" s="255"/>
      <c r="V16" s="260"/>
      <c r="W16" s="261"/>
      <c r="X16" s="261"/>
      <c r="Y16" s="255"/>
    </row>
    <row r="17" spans="1:25">
      <c r="A17" s="250"/>
      <c r="B17" s="554" t="s">
        <v>313</v>
      </c>
      <c r="C17" s="555"/>
      <c r="D17" s="556"/>
      <c r="E17" s="255"/>
      <c r="F17" s="258"/>
      <c r="G17" s="259"/>
      <c r="H17" s="264"/>
      <c r="I17" s="240"/>
      <c r="J17" s="245"/>
      <c r="K17" s="247"/>
      <c r="L17" s="247">
        <v>241.5</v>
      </c>
      <c r="M17" s="240"/>
      <c r="N17" s="260"/>
      <c r="O17" s="261"/>
      <c r="P17" s="261"/>
      <c r="Q17" s="255"/>
      <c r="R17" s="260"/>
      <c r="S17" s="261"/>
      <c r="T17" s="261"/>
      <c r="U17" s="255"/>
      <c r="V17" s="260"/>
      <c r="W17" s="261"/>
      <c r="X17" s="261"/>
      <c r="Y17" s="255"/>
    </row>
    <row r="18" spans="1:25">
      <c r="A18" s="250"/>
      <c r="B18" s="554" t="s">
        <v>317</v>
      </c>
      <c r="C18" s="555"/>
      <c r="D18" s="556"/>
      <c r="E18" s="255"/>
      <c r="F18" s="258"/>
      <c r="G18" s="259"/>
      <c r="H18" s="264"/>
      <c r="I18" s="240"/>
      <c r="J18" s="245"/>
      <c r="K18" s="247"/>
      <c r="L18" s="247"/>
      <c r="M18" s="255"/>
      <c r="N18" s="260"/>
      <c r="O18" s="261"/>
      <c r="P18" s="261">
        <f>2392.59+1211.15-978.65-45</f>
        <v>2580.09</v>
      </c>
      <c r="Q18" s="255"/>
      <c r="R18" s="260"/>
      <c r="S18" s="261"/>
      <c r="T18" s="261">
        <f>2392.59+1211.15-978.65-45</f>
        <v>2580.09</v>
      </c>
      <c r="U18" s="255"/>
      <c r="V18" s="260"/>
      <c r="W18" s="261"/>
      <c r="X18" s="261">
        <f>2392.59+1211.15-978.65-45</f>
        <v>2580.09</v>
      </c>
      <c r="Y18" s="255"/>
    </row>
    <row r="19" spans="1:25" hidden="1">
      <c r="A19" s="250"/>
      <c r="B19" s="554"/>
      <c r="C19" s="555"/>
      <c r="D19" s="556"/>
      <c r="E19" s="255"/>
      <c r="F19" s="258"/>
      <c r="G19" s="259"/>
      <c r="H19" s="264"/>
      <c r="I19" s="240"/>
      <c r="J19" s="245"/>
      <c r="K19" s="247"/>
      <c r="L19" s="247"/>
      <c r="M19" s="255"/>
      <c r="N19" s="260"/>
      <c r="O19" s="261"/>
      <c r="P19" s="261"/>
      <c r="Q19" s="255"/>
      <c r="R19" s="260"/>
      <c r="S19" s="261"/>
      <c r="T19" s="261"/>
      <c r="U19" s="255"/>
      <c r="V19" s="260"/>
      <c r="W19" s="261"/>
      <c r="X19" s="261"/>
      <c r="Y19" s="255"/>
    </row>
    <row r="20" spans="1:25">
      <c r="A20" s="250"/>
      <c r="B20" s="554" t="s">
        <v>98</v>
      </c>
      <c r="C20" s="555"/>
      <c r="D20" s="556"/>
      <c r="E20" s="262"/>
      <c r="F20" s="250"/>
      <c r="G20" s="263"/>
      <c r="H20" s="264">
        <f>2242.9+1.2+13.8</f>
        <v>2257.9</v>
      </c>
      <c r="I20" s="240">
        <f>H20/12/F8*1000</f>
        <v>1.3676822126565029</v>
      </c>
      <c r="J20" s="245"/>
      <c r="K20" s="247"/>
      <c r="L20" s="247">
        <v>700</v>
      </c>
      <c r="M20" s="255"/>
      <c r="N20" s="260"/>
      <c r="O20" s="261"/>
      <c r="P20" s="261"/>
      <c r="Q20" s="255"/>
      <c r="R20" s="260"/>
      <c r="S20" s="261"/>
      <c r="T20" s="261"/>
      <c r="U20" s="255"/>
      <c r="V20" s="260"/>
      <c r="W20" s="261"/>
      <c r="X20" s="261"/>
      <c r="Y20" s="255"/>
    </row>
    <row r="21" spans="1:25" ht="26.25" customHeight="1">
      <c r="A21" s="231">
        <v>2</v>
      </c>
      <c r="B21" s="563" t="s">
        <v>328</v>
      </c>
      <c r="C21" s="564"/>
      <c r="D21" s="565"/>
      <c r="E21" s="262"/>
      <c r="F21" s="241">
        <f>SUM(F22:F24)</f>
        <v>137574.6</v>
      </c>
      <c r="G21" s="263"/>
      <c r="H21" s="242">
        <f>SUM(H22:H24)+0.05</f>
        <v>2517.6791840000005</v>
      </c>
      <c r="I21" s="238">
        <f>H21/12/F8*1000</f>
        <v>1.5250387692689398</v>
      </c>
      <c r="J21" s="243">
        <f>J9</f>
        <v>136568.20000000001</v>
      </c>
      <c r="K21" s="265">
        <f>SUM(L21/J21/12*1000)</f>
        <v>1.6216561883854854</v>
      </c>
      <c r="L21" s="243">
        <f>L22+L24+L25+L23+L26+L27</f>
        <v>2657.6</v>
      </c>
      <c r="M21" s="238">
        <f>L21/12/J21*1000</f>
        <v>1.6216561883854854</v>
      </c>
      <c r="N21" s="266">
        <f>N22+N23+N24</f>
        <v>139832.6</v>
      </c>
      <c r="O21" s="265" t="e">
        <f>SUM(P21/N21/12*1000)</f>
        <v>#REF!</v>
      </c>
      <c r="P21" s="243" t="e">
        <f>#REF!</f>
        <v>#REF!</v>
      </c>
      <c r="Q21" s="238" t="e">
        <f>P21/12/N21*1000+0.01</f>
        <v>#REF!</v>
      </c>
      <c r="R21" s="266">
        <f>R22+R23+R24</f>
        <v>143097</v>
      </c>
      <c r="S21" s="265" t="e">
        <f>SUM(T21/R21/12*1000)</f>
        <v>#REF!</v>
      </c>
      <c r="T21" s="243" t="e">
        <f>#REF!</f>
        <v>#REF!</v>
      </c>
      <c r="U21" s="238" t="e">
        <f>T21/12/R21*1000+0.01</f>
        <v>#REF!</v>
      </c>
      <c r="V21" s="266">
        <f>V22+V23+V24</f>
        <v>146361.4</v>
      </c>
      <c r="W21" s="265" t="e">
        <f>SUM(X21/V21/12*1000)</f>
        <v>#REF!</v>
      </c>
      <c r="X21" s="243" t="e">
        <f>#REF!</f>
        <v>#REF!</v>
      </c>
      <c r="Y21" s="238" t="e">
        <f>X21/12/V21*1000+0.01</f>
        <v>#REF!</v>
      </c>
    </row>
    <row r="22" spans="1:25">
      <c r="A22" s="250"/>
      <c r="B22" s="553" t="s">
        <v>118</v>
      </c>
      <c r="C22" s="553"/>
      <c r="D22" s="553"/>
      <c r="E22" s="262"/>
      <c r="F22" s="244">
        <f>'[4]расч. по с.ж'!$F$19</f>
        <v>33035.200000000004</v>
      </c>
      <c r="G22" s="263">
        <v>1.49</v>
      </c>
      <c r="H22" s="264">
        <f>F22*G22*12/1000</f>
        <v>590.66937600000006</v>
      </c>
      <c r="I22" s="240">
        <f>H22/12/F8*1000</f>
        <v>0.3577873241136082</v>
      </c>
      <c r="J22" s="245">
        <f>J12</f>
        <v>29236.5</v>
      </c>
      <c r="K22" s="246">
        <f>SUM(L22/J22/12*1000)</f>
        <v>1.4867260673017177</v>
      </c>
      <c r="L22" s="247">
        <v>521.6</v>
      </c>
      <c r="M22" s="240">
        <f>L22/12/J21*1000</f>
        <v>0.31827809597451434</v>
      </c>
      <c r="N22" s="248">
        <f>N12</f>
        <v>29236.5</v>
      </c>
      <c r="O22" s="249">
        <v>1.49</v>
      </c>
      <c r="P22" s="249">
        <f>N22*O22*12/1000</f>
        <v>522.74861999999996</v>
      </c>
      <c r="Q22" s="255"/>
      <c r="R22" s="248">
        <f>R12</f>
        <v>29236.5</v>
      </c>
      <c r="S22" s="249">
        <v>1.49</v>
      </c>
      <c r="T22" s="249">
        <f>R22*S22*12/1000</f>
        <v>522.74861999999996</v>
      </c>
      <c r="U22" s="255"/>
      <c r="V22" s="248">
        <f>V12</f>
        <v>29236.5</v>
      </c>
      <c r="W22" s="249">
        <v>1.49</v>
      </c>
      <c r="X22" s="249">
        <f>V22*W22*12/1000</f>
        <v>522.74861999999996</v>
      </c>
      <c r="Y22" s="255"/>
    </row>
    <row r="23" spans="1:25">
      <c r="A23" s="250"/>
      <c r="B23" s="553" t="s">
        <v>117</v>
      </c>
      <c r="C23" s="553"/>
      <c r="D23" s="553"/>
      <c r="E23" s="262"/>
      <c r="F23" s="250">
        <f>'[4]расч. по с.ж'!$F$20</f>
        <v>24268.100000000006</v>
      </c>
      <c r="G23" s="267">
        <v>1.49</v>
      </c>
      <c r="H23" s="264">
        <f>F23*G23*12/1000</f>
        <v>433.91362800000013</v>
      </c>
      <c r="I23" s="240">
        <f>H23/12/F8*1000</f>
        <v>0.26283535623581683</v>
      </c>
      <c r="J23" s="245">
        <f>J13</f>
        <v>27320.9</v>
      </c>
      <c r="K23" s="246">
        <f>SUM(L23/J23/12*1000)</f>
        <v>1.4247334458235268</v>
      </c>
      <c r="L23" s="247">
        <v>467.1</v>
      </c>
      <c r="M23" s="240">
        <f>L23/12/J22*1000</f>
        <v>1.3313837155610284</v>
      </c>
      <c r="N23" s="248">
        <f>N13</f>
        <v>27320.9</v>
      </c>
      <c r="O23" s="249">
        <v>1.49</v>
      </c>
      <c r="P23" s="249">
        <f>N23*O23*12/1000</f>
        <v>488.49769200000003</v>
      </c>
      <c r="Q23" s="255"/>
      <c r="R23" s="248">
        <f>R13</f>
        <v>27320.9</v>
      </c>
      <c r="S23" s="249">
        <v>1.49</v>
      </c>
      <c r="T23" s="249">
        <f>R23*S23*12/1000</f>
        <v>488.49769200000003</v>
      </c>
      <c r="U23" s="255"/>
      <c r="V23" s="248">
        <f>V13</f>
        <v>27320.9</v>
      </c>
      <c r="W23" s="249">
        <v>1.49</v>
      </c>
      <c r="X23" s="249">
        <f>V23*W23*12/1000</f>
        <v>488.49769200000003</v>
      </c>
      <c r="Y23" s="255"/>
    </row>
    <row r="24" spans="1:25">
      <c r="A24" s="250"/>
      <c r="B24" s="554" t="s">
        <v>116</v>
      </c>
      <c r="C24" s="555"/>
      <c r="D24" s="556"/>
      <c r="E24" s="262"/>
      <c r="F24" s="250">
        <f>'[4]расч. по с.ж'!$F$21</f>
        <v>80271.3</v>
      </c>
      <c r="G24" s="268">
        <v>1.55</v>
      </c>
      <c r="H24" s="264">
        <f>F24*G24*12/1000</f>
        <v>1493.0461800000003</v>
      </c>
      <c r="I24" s="240">
        <f>H24/12/F8*1000</f>
        <v>0.90438580232106813</v>
      </c>
      <c r="J24" s="245">
        <f>J11</f>
        <v>80010.8</v>
      </c>
      <c r="K24" s="246">
        <f>SUM(L24/J24/12*1000)</f>
        <v>1.5493741678206774</v>
      </c>
      <c r="L24" s="247">
        <v>1487.6</v>
      </c>
      <c r="M24" s="240">
        <f>L24/12/J23*1000</f>
        <v>4.537429830886488</v>
      </c>
      <c r="N24" s="248">
        <f>N11</f>
        <v>83275.199999999997</v>
      </c>
      <c r="O24" s="249">
        <v>1.49</v>
      </c>
      <c r="P24" s="249">
        <f>N24*O24*12/1000</f>
        <v>1488.9605759999999</v>
      </c>
      <c r="Q24" s="255"/>
      <c r="R24" s="248">
        <f>R11</f>
        <v>86539.599999999991</v>
      </c>
      <c r="S24" s="249">
        <v>1.49</v>
      </c>
      <c r="T24" s="249">
        <f>R24*S24*12/1000</f>
        <v>1547.3280479999999</v>
      </c>
      <c r="U24" s="255"/>
      <c r="V24" s="248">
        <f>V11</f>
        <v>89803.999999999985</v>
      </c>
      <c r="W24" s="249">
        <v>1.49</v>
      </c>
      <c r="X24" s="249">
        <f>V24*W24*12/1000</f>
        <v>1605.69552</v>
      </c>
      <c r="Y24" s="255"/>
    </row>
    <row r="25" spans="1:25">
      <c r="A25" s="250"/>
      <c r="B25" s="554" t="s">
        <v>315</v>
      </c>
      <c r="C25" s="555"/>
      <c r="D25" s="556"/>
      <c r="E25" s="262"/>
      <c r="F25" s="250"/>
      <c r="G25" s="268"/>
      <c r="H25" s="264"/>
      <c r="I25" s="240"/>
      <c r="J25" s="245"/>
      <c r="K25" s="269"/>
      <c r="L25" s="247">
        <v>69.3</v>
      </c>
      <c r="M25" s="240">
        <f>L25/12/J24*1000</f>
        <v>7.2177756002939603E-2</v>
      </c>
      <c r="N25" s="260"/>
      <c r="O25" s="261"/>
      <c r="P25" s="249">
        <v>940</v>
      </c>
      <c r="Q25" s="255"/>
      <c r="R25" s="260"/>
      <c r="S25" s="261"/>
      <c r="T25" s="249">
        <v>940</v>
      </c>
      <c r="U25" s="255"/>
      <c r="V25" s="260"/>
      <c r="W25" s="261"/>
      <c r="X25" s="249">
        <v>940</v>
      </c>
      <c r="Y25" s="255"/>
    </row>
    <row r="26" spans="1:25">
      <c r="A26" s="250"/>
      <c r="B26" s="554" t="s">
        <v>314</v>
      </c>
      <c r="C26" s="555"/>
      <c r="D26" s="556"/>
      <c r="E26" s="262"/>
      <c r="F26" s="250"/>
      <c r="G26" s="268"/>
      <c r="H26" s="264"/>
      <c r="I26" s="240"/>
      <c r="J26" s="245"/>
      <c r="K26" s="269"/>
      <c r="L26" s="247">
        <v>112</v>
      </c>
      <c r="M26" s="240">
        <f>L26/12/J24*1000</f>
        <v>0.11665091879262966</v>
      </c>
      <c r="N26" s="260"/>
      <c r="O26" s="261"/>
      <c r="P26" s="261"/>
      <c r="Q26" s="255"/>
      <c r="R26" s="260"/>
      <c r="S26" s="261"/>
      <c r="T26" s="261"/>
      <c r="U26" s="255"/>
      <c r="V26" s="260"/>
      <c r="W26" s="261"/>
      <c r="X26" s="261"/>
      <c r="Y26" s="255"/>
    </row>
    <row r="27" spans="1:25">
      <c r="A27" s="250"/>
      <c r="B27" s="554" t="s">
        <v>317</v>
      </c>
      <c r="C27" s="555"/>
      <c r="D27" s="556"/>
      <c r="E27" s="262"/>
      <c r="F27" s="250"/>
      <c r="G27" s="268"/>
      <c r="H27" s="264"/>
      <c r="I27" s="240"/>
      <c r="J27" s="245"/>
      <c r="K27" s="269"/>
      <c r="L27" s="247"/>
      <c r="M27" s="255"/>
      <c r="N27" s="260"/>
      <c r="O27" s="261"/>
      <c r="P27" s="254">
        <v>188.3</v>
      </c>
      <c r="Q27" s="255"/>
      <c r="R27" s="260"/>
      <c r="S27" s="261"/>
      <c r="T27" s="254">
        <v>188.3</v>
      </c>
      <c r="U27" s="255"/>
      <c r="V27" s="260"/>
      <c r="W27" s="261"/>
      <c r="X27" s="254">
        <v>188.3</v>
      </c>
      <c r="Y27" s="255"/>
    </row>
    <row r="28" spans="1:25" ht="37.5" customHeight="1">
      <c r="A28" s="212">
        <v>3</v>
      </c>
      <c r="B28" s="566" t="s">
        <v>147</v>
      </c>
      <c r="C28" s="567"/>
      <c r="D28" s="568"/>
      <c r="E28" s="270"/>
      <c r="F28" s="271">
        <f>F29</f>
        <v>137574.6</v>
      </c>
      <c r="G28" s="272"/>
      <c r="H28" s="242" t="e">
        <f>H29+H30</f>
        <v>#REF!</v>
      </c>
      <c r="I28" s="238" t="e">
        <f>H28/12/F8*1000</f>
        <v>#REF!</v>
      </c>
      <c r="J28" s="243">
        <f>J21</f>
        <v>136568.20000000001</v>
      </c>
      <c r="K28" s="273">
        <f>SUM(L28/J28/12*1000)</f>
        <v>0.36611744168847504</v>
      </c>
      <c r="L28" s="242">
        <f>L29+L30</f>
        <v>600</v>
      </c>
      <c r="M28" s="238">
        <f>L28/12/J28*1000</f>
        <v>0.36611744168847504</v>
      </c>
      <c r="N28" s="266">
        <f>N21</f>
        <v>139832.6</v>
      </c>
      <c r="O28" s="273" t="e">
        <f>SUM(P28/N28/12*1000)</f>
        <v>#REF!</v>
      </c>
      <c r="P28" s="274" t="e">
        <f>#REF!+#REF!</f>
        <v>#REF!</v>
      </c>
      <c r="Q28" s="238" t="e">
        <f>P28/12/N28*1000</f>
        <v>#REF!</v>
      </c>
      <c r="R28" s="266">
        <f>R21</f>
        <v>143097</v>
      </c>
      <c r="S28" s="273" t="e">
        <f>SUM(T28/R28/12*1000)</f>
        <v>#REF!</v>
      </c>
      <c r="T28" s="274" t="e">
        <f>#REF!+#REF!</f>
        <v>#REF!</v>
      </c>
      <c r="U28" s="238" t="e">
        <f>T28/12/R28*1000</f>
        <v>#REF!</v>
      </c>
      <c r="V28" s="266">
        <f>V21</f>
        <v>146361.4</v>
      </c>
      <c r="W28" s="273" t="e">
        <f>SUM(X28/V28/12*1000)</f>
        <v>#REF!</v>
      </c>
      <c r="X28" s="274" t="e">
        <f>#REF!+#REF!</f>
        <v>#REF!</v>
      </c>
      <c r="Y28" s="238" t="e">
        <f>X28/12/V28*1000</f>
        <v>#REF!</v>
      </c>
    </row>
    <row r="29" spans="1:25">
      <c r="A29" s="250"/>
      <c r="B29" s="554" t="s">
        <v>99</v>
      </c>
      <c r="C29" s="555"/>
      <c r="D29" s="556"/>
      <c r="E29" s="262"/>
      <c r="F29" s="244">
        <f>'[4]расч. по с.ж'!$F$23</f>
        <v>137574.6</v>
      </c>
      <c r="G29" s="263">
        <v>0.22</v>
      </c>
      <c r="H29" s="264">
        <f>F29*G29*12/1000</f>
        <v>363.19694400000003</v>
      </c>
      <c r="I29" s="240">
        <f>H29/12/F8*1000</f>
        <v>0.22</v>
      </c>
      <c r="J29" s="245">
        <f>J21</f>
        <v>136568.20000000001</v>
      </c>
      <c r="K29" s="246">
        <f>SUM(L29/J29/12*1000)</f>
        <v>0.21680254505319199</v>
      </c>
      <c r="L29" s="247">
        <v>355.3</v>
      </c>
      <c r="M29" s="240">
        <f>L29/12/J28*1000</f>
        <v>0.21680254505319196</v>
      </c>
      <c r="N29" s="275">
        <f>N28</f>
        <v>139832.6</v>
      </c>
      <c r="O29" s="261"/>
      <c r="P29" s="249" t="e">
        <f>#REF!</f>
        <v>#REF!</v>
      </c>
      <c r="Q29" s="255"/>
      <c r="R29" s="275">
        <f>R28</f>
        <v>143097</v>
      </c>
      <c r="S29" s="261"/>
      <c r="T29" s="249" t="e">
        <f>#REF!</f>
        <v>#REF!</v>
      </c>
      <c r="U29" s="255"/>
      <c r="V29" s="275">
        <f>V28</f>
        <v>146361.4</v>
      </c>
      <c r="W29" s="261"/>
      <c r="X29" s="249" t="e">
        <f>#REF!</f>
        <v>#REF!</v>
      </c>
      <c r="Y29" s="255"/>
    </row>
    <row r="30" spans="1:25">
      <c r="A30" s="276"/>
      <c r="B30" s="554" t="s">
        <v>100</v>
      </c>
      <c r="C30" s="555"/>
      <c r="D30" s="556"/>
      <c r="E30" s="262"/>
      <c r="F30" s="244" t="e">
        <f>H30*1000/12/G30</f>
        <v>#REF!</v>
      </c>
      <c r="G30" s="263">
        <v>0.39</v>
      </c>
      <c r="H30" s="264" t="e">
        <f>#REF!</f>
        <v>#REF!</v>
      </c>
      <c r="I30" s="240" t="e">
        <f>H30/12/F8*1000</f>
        <v>#REF!</v>
      </c>
      <c r="J30" s="245">
        <v>52282.1</v>
      </c>
      <c r="K30" s="246">
        <f>SUM(L30/J30/12*1000)</f>
        <v>0.39003151492894639</v>
      </c>
      <c r="L30" s="247">
        <v>244.7</v>
      </c>
      <c r="M30" s="240">
        <f>L30/12/J29*1000</f>
        <v>0.14931489663528305</v>
      </c>
      <c r="N30" s="275">
        <f>J30</f>
        <v>52282.1</v>
      </c>
      <c r="O30" s="261"/>
      <c r="P30" s="249" t="e">
        <f>#REF!</f>
        <v>#REF!</v>
      </c>
      <c r="Q30" s="255"/>
      <c r="R30" s="275">
        <f>N30</f>
        <v>52282.1</v>
      </c>
      <c r="S30" s="261"/>
      <c r="T30" s="249" t="e">
        <f>#REF!</f>
        <v>#REF!</v>
      </c>
      <c r="U30" s="255"/>
      <c r="V30" s="275">
        <f>R30</f>
        <v>52282.1</v>
      </c>
      <c r="W30" s="261"/>
      <c r="X30" s="249" t="e">
        <f>#REF!</f>
        <v>#REF!</v>
      </c>
      <c r="Y30" s="255"/>
    </row>
    <row r="31" spans="1:25" hidden="1">
      <c r="A31" s="276"/>
      <c r="B31" s="251"/>
      <c r="C31" s="252"/>
      <c r="D31" s="253"/>
      <c r="E31" s="262"/>
      <c r="F31" s="244"/>
      <c r="G31" s="263"/>
      <c r="H31" s="264"/>
      <c r="I31" s="240"/>
      <c r="J31" s="245"/>
      <c r="K31" s="247"/>
      <c r="L31" s="247"/>
      <c r="M31" s="255"/>
      <c r="N31" s="277"/>
      <c r="O31" s="261"/>
      <c r="P31" s="261"/>
      <c r="Q31" s="255"/>
      <c r="R31" s="277"/>
      <c r="S31" s="261"/>
      <c r="T31" s="261"/>
      <c r="U31" s="255"/>
      <c r="V31" s="277"/>
      <c r="W31" s="261"/>
      <c r="X31" s="261"/>
      <c r="Y31" s="255"/>
    </row>
    <row r="32" spans="1:25" hidden="1">
      <c r="A32" s="276"/>
      <c r="B32" s="251"/>
      <c r="C32" s="252"/>
      <c r="D32" s="253"/>
      <c r="E32" s="262"/>
      <c r="F32" s="244"/>
      <c r="G32" s="263"/>
      <c r="H32" s="264"/>
      <c r="I32" s="240"/>
      <c r="J32" s="245"/>
      <c r="K32" s="247"/>
      <c r="L32" s="247"/>
      <c r="M32" s="255"/>
      <c r="N32" s="277"/>
      <c r="O32" s="261"/>
      <c r="P32" s="261"/>
      <c r="Q32" s="255"/>
      <c r="R32" s="277"/>
      <c r="S32" s="261"/>
      <c r="T32" s="261"/>
      <c r="U32" s="255"/>
      <c r="V32" s="277"/>
      <c r="W32" s="261"/>
      <c r="X32" s="261"/>
      <c r="Y32" s="255"/>
    </row>
    <row r="33" spans="1:25" ht="17.25" customHeight="1">
      <c r="A33" s="278">
        <v>4</v>
      </c>
      <c r="B33" s="563" t="s">
        <v>151</v>
      </c>
      <c r="C33" s="564"/>
      <c r="D33" s="565"/>
      <c r="E33" s="262"/>
      <c r="F33" s="250"/>
      <c r="G33" s="267"/>
      <c r="H33" s="279">
        <v>3975.6</v>
      </c>
      <c r="I33" s="238">
        <f>H33/12/F8*1000</f>
        <v>2.4081480156947577</v>
      </c>
      <c r="J33" s="243">
        <f>J28</f>
        <v>136568.20000000001</v>
      </c>
      <c r="K33" s="247"/>
      <c r="L33" s="273">
        <v>3695.04</v>
      </c>
      <c r="M33" s="238">
        <f>L33/12/J33*1000</f>
        <v>2.2546976528943046</v>
      </c>
      <c r="N33" s="280">
        <f>N28</f>
        <v>139832.6</v>
      </c>
      <c r="O33" s="172"/>
      <c r="P33" s="294" t="e">
        <f>#REF!</f>
        <v>#REF!</v>
      </c>
      <c r="Q33" s="238" t="e">
        <f>P33/12/N33*1000</f>
        <v>#REF!</v>
      </c>
      <c r="R33" s="280">
        <f>R28</f>
        <v>143097</v>
      </c>
      <c r="S33" s="172"/>
      <c r="T33" s="294" t="e">
        <f>#REF!</f>
        <v>#REF!</v>
      </c>
      <c r="U33" s="238" t="e">
        <f>T33/12/R33*1000</f>
        <v>#REF!</v>
      </c>
      <c r="V33" s="280">
        <f>V28</f>
        <v>146361.4</v>
      </c>
      <c r="W33" s="172"/>
      <c r="X33" s="294" t="e">
        <f>#REF!</f>
        <v>#REF!</v>
      </c>
      <c r="Y33" s="238" t="e">
        <f>X33/12/V33*1000</f>
        <v>#REF!</v>
      </c>
    </row>
    <row r="34" spans="1:25">
      <c r="A34" s="278">
        <v>5</v>
      </c>
      <c r="B34" s="563" t="s">
        <v>101</v>
      </c>
      <c r="C34" s="564"/>
      <c r="D34" s="565"/>
      <c r="E34" s="262"/>
      <c r="F34" s="250"/>
      <c r="G34" s="267"/>
      <c r="H34" s="279">
        <v>596.20000000000005</v>
      </c>
      <c r="I34" s="238">
        <f>H34/12/F8*1000</f>
        <v>0.36113739987856286</v>
      </c>
      <c r="J34" s="243">
        <f>J33</f>
        <v>136568.20000000001</v>
      </c>
      <c r="K34" s="247"/>
      <c r="L34" s="234">
        <f>SUM(L35:L46)</f>
        <v>346.99999999999994</v>
      </c>
      <c r="M34" s="238">
        <f>L34/12/J34*1000</f>
        <v>0.211737920443168</v>
      </c>
      <c r="N34" s="281">
        <f>N28</f>
        <v>139832.6</v>
      </c>
      <c r="O34" s="261"/>
      <c r="P34" s="249" t="e">
        <f>#REF!</f>
        <v>#REF!</v>
      </c>
      <c r="Q34" s="238" t="e">
        <f>P34/12/N34*1000</f>
        <v>#REF!</v>
      </c>
      <c r="R34" s="281">
        <f>R28</f>
        <v>143097</v>
      </c>
      <c r="S34" s="261"/>
      <c r="T34" s="249" t="e">
        <f>#REF!</f>
        <v>#REF!</v>
      </c>
      <c r="U34" s="238" t="e">
        <f>T34/12/R34*1000</f>
        <v>#REF!</v>
      </c>
      <c r="V34" s="281">
        <f>V28</f>
        <v>146361.4</v>
      </c>
      <c r="W34" s="261"/>
      <c r="X34" s="249" t="e">
        <f>#REF!</f>
        <v>#REF!</v>
      </c>
      <c r="Y34" s="238" t="e">
        <f>X34/12/V34*1000</f>
        <v>#REF!</v>
      </c>
    </row>
    <row r="35" spans="1:25">
      <c r="A35" s="296"/>
      <c r="B35" s="554" t="s">
        <v>117</v>
      </c>
      <c r="C35" s="555"/>
      <c r="D35" s="556"/>
      <c r="E35" s="297"/>
      <c r="F35" s="298"/>
      <c r="G35" s="299"/>
      <c r="H35" s="300"/>
      <c r="I35" s="301"/>
      <c r="J35" s="302"/>
      <c r="K35" s="303"/>
      <c r="L35" s="304">
        <v>31.2</v>
      </c>
      <c r="M35" s="301"/>
      <c r="N35" s="305"/>
      <c r="O35" s="306"/>
      <c r="P35" s="307"/>
      <c r="Q35" s="301"/>
      <c r="R35" s="305"/>
      <c r="S35" s="306"/>
      <c r="T35" s="307"/>
      <c r="U35" s="301"/>
      <c r="V35" s="305"/>
      <c r="W35" s="306"/>
      <c r="X35" s="307"/>
      <c r="Y35" s="301"/>
    </row>
    <row r="36" spans="1:25" ht="10.5" customHeight="1">
      <c r="A36" s="296"/>
      <c r="B36" s="554" t="s">
        <v>332</v>
      </c>
      <c r="C36" s="555"/>
      <c r="D36" s="556"/>
      <c r="E36" s="297"/>
      <c r="F36" s="298"/>
      <c r="G36" s="299"/>
      <c r="H36" s="300"/>
      <c r="I36" s="301"/>
      <c r="J36" s="302"/>
      <c r="K36" s="303"/>
      <c r="L36" s="304">
        <v>7</v>
      </c>
      <c r="M36" s="301"/>
      <c r="N36" s="305"/>
      <c r="O36" s="306"/>
      <c r="P36" s="307"/>
      <c r="Q36" s="301"/>
      <c r="R36" s="305"/>
      <c r="S36" s="306"/>
      <c r="T36" s="307"/>
      <c r="U36" s="301"/>
      <c r="V36" s="305"/>
      <c r="W36" s="306"/>
      <c r="X36" s="307"/>
      <c r="Y36" s="301"/>
    </row>
    <row r="37" spans="1:25">
      <c r="A37" s="296"/>
      <c r="B37" s="554" t="s">
        <v>331</v>
      </c>
      <c r="C37" s="555"/>
      <c r="D37" s="556"/>
      <c r="E37" s="297"/>
      <c r="F37" s="298"/>
      <c r="G37" s="299"/>
      <c r="H37" s="300"/>
      <c r="I37" s="301"/>
      <c r="J37" s="302"/>
      <c r="K37" s="303"/>
      <c r="L37" s="304">
        <v>60</v>
      </c>
      <c r="M37" s="301"/>
      <c r="N37" s="305"/>
      <c r="O37" s="306"/>
      <c r="P37" s="307"/>
      <c r="Q37" s="301"/>
      <c r="R37" s="305"/>
      <c r="S37" s="306"/>
      <c r="T37" s="307"/>
      <c r="U37" s="301"/>
      <c r="V37" s="305"/>
      <c r="W37" s="306"/>
      <c r="X37" s="307"/>
      <c r="Y37" s="301"/>
    </row>
    <row r="38" spans="1:25">
      <c r="A38" s="296"/>
      <c r="B38" s="554" t="s">
        <v>333</v>
      </c>
      <c r="C38" s="555"/>
      <c r="D38" s="556"/>
      <c r="E38" s="297"/>
      <c r="F38" s="298"/>
      <c r="G38" s="299"/>
      <c r="H38" s="300"/>
      <c r="I38" s="301"/>
      <c r="J38" s="302"/>
      <c r="K38" s="303"/>
      <c r="L38" s="304">
        <v>76</v>
      </c>
      <c r="M38" s="301"/>
      <c r="N38" s="305"/>
      <c r="O38" s="306"/>
      <c r="P38" s="307"/>
      <c r="Q38" s="301"/>
      <c r="R38" s="305"/>
      <c r="S38" s="306"/>
      <c r="T38" s="307"/>
      <c r="U38" s="301"/>
      <c r="V38" s="305"/>
      <c r="W38" s="306"/>
      <c r="X38" s="307"/>
      <c r="Y38" s="301"/>
    </row>
    <row r="39" spans="1:25">
      <c r="A39" s="296"/>
      <c r="B39" s="554" t="s">
        <v>334</v>
      </c>
      <c r="C39" s="555"/>
      <c r="D39" s="556"/>
      <c r="E39" s="297"/>
      <c r="F39" s="298"/>
      <c r="G39" s="299"/>
      <c r="H39" s="300"/>
      <c r="I39" s="301"/>
      <c r="J39" s="302"/>
      <c r="K39" s="303"/>
      <c r="L39" s="304">
        <v>4</v>
      </c>
      <c r="M39" s="301"/>
      <c r="N39" s="305"/>
      <c r="O39" s="306"/>
      <c r="P39" s="307"/>
      <c r="Q39" s="301"/>
      <c r="R39" s="305"/>
      <c r="S39" s="306"/>
      <c r="T39" s="307"/>
      <c r="U39" s="301"/>
      <c r="V39" s="305"/>
      <c r="W39" s="306"/>
      <c r="X39" s="307"/>
      <c r="Y39" s="301"/>
    </row>
    <row r="40" spans="1:25">
      <c r="A40" s="296"/>
      <c r="B40" s="554" t="s">
        <v>335</v>
      </c>
      <c r="C40" s="555"/>
      <c r="D40" s="556"/>
      <c r="E40" s="297"/>
      <c r="F40" s="298"/>
      <c r="G40" s="299"/>
      <c r="H40" s="300"/>
      <c r="I40" s="301"/>
      <c r="J40" s="302"/>
      <c r="K40" s="303"/>
      <c r="L40" s="304">
        <v>132</v>
      </c>
      <c r="M40" s="301"/>
      <c r="N40" s="305"/>
      <c r="O40" s="306"/>
      <c r="P40" s="307"/>
      <c r="Q40" s="301"/>
      <c r="R40" s="305"/>
      <c r="S40" s="306"/>
      <c r="T40" s="307"/>
      <c r="U40" s="301"/>
      <c r="V40" s="305"/>
      <c r="W40" s="306"/>
      <c r="X40" s="307"/>
      <c r="Y40" s="301"/>
    </row>
    <row r="41" spans="1:25">
      <c r="A41" s="296"/>
      <c r="B41" s="554" t="s">
        <v>336</v>
      </c>
      <c r="C41" s="555"/>
      <c r="D41" s="556"/>
      <c r="E41" s="297"/>
      <c r="F41" s="298"/>
      <c r="G41" s="299"/>
      <c r="H41" s="300"/>
      <c r="I41" s="301"/>
      <c r="J41" s="302"/>
      <c r="K41" s="303"/>
      <c r="L41" s="304">
        <v>6.4</v>
      </c>
      <c r="M41" s="301"/>
      <c r="N41" s="305"/>
      <c r="O41" s="306"/>
      <c r="P41" s="307"/>
      <c r="Q41" s="301"/>
      <c r="R41" s="305"/>
      <c r="S41" s="306"/>
      <c r="T41" s="307"/>
      <c r="U41" s="301"/>
      <c r="V41" s="305"/>
      <c r="W41" s="306"/>
      <c r="X41" s="307"/>
      <c r="Y41" s="301"/>
    </row>
    <row r="42" spans="1:25">
      <c r="A42" s="296"/>
      <c r="B42" s="554" t="s">
        <v>337</v>
      </c>
      <c r="C42" s="555"/>
      <c r="D42" s="556"/>
      <c r="E42" s="297"/>
      <c r="F42" s="298"/>
      <c r="G42" s="299"/>
      <c r="H42" s="300"/>
      <c r="I42" s="301"/>
      <c r="J42" s="302"/>
      <c r="K42" s="303"/>
      <c r="L42" s="304">
        <v>3.7</v>
      </c>
      <c r="M42" s="301"/>
      <c r="N42" s="305"/>
      <c r="O42" s="306"/>
      <c r="P42" s="307"/>
      <c r="Q42" s="301"/>
      <c r="R42" s="305"/>
      <c r="S42" s="306"/>
      <c r="T42" s="307"/>
      <c r="U42" s="301"/>
      <c r="V42" s="305"/>
      <c r="W42" s="306"/>
      <c r="X42" s="307"/>
      <c r="Y42" s="301"/>
    </row>
    <row r="43" spans="1:25">
      <c r="A43" s="296"/>
      <c r="B43" s="554" t="s">
        <v>338</v>
      </c>
      <c r="C43" s="555"/>
      <c r="D43" s="556"/>
      <c r="E43" s="297"/>
      <c r="F43" s="298"/>
      <c r="G43" s="299"/>
      <c r="H43" s="300"/>
      <c r="I43" s="301"/>
      <c r="J43" s="302"/>
      <c r="K43" s="303"/>
      <c r="L43" s="304">
        <v>6.9</v>
      </c>
      <c r="M43" s="301"/>
      <c r="N43" s="305"/>
      <c r="O43" s="306"/>
      <c r="P43" s="307"/>
      <c r="Q43" s="301"/>
      <c r="R43" s="305"/>
      <c r="S43" s="306"/>
      <c r="T43" s="307"/>
      <c r="U43" s="301"/>
      <c r="V43" s="305"/>
      <c r="W43" s="306"/>
      <c r="X43" s="307"/>
      <c r="Y43" s="301"/>
    </row>
    <row r="44" spans="1:25" ht="12.75" customHeight="1">
      <c r="A44" s="296"/>
      <c r="B44" s="554" t="s">
        <v>339</v>
      </c>
      <c r="C44" s="555"/>
      <c r="D44" s="556"/>
      <c r="E44" s="297"/>
      <c r="F44" s="298"/>
      <c r="G44" s="299"/>
      <c r="H44" s="300"/>
      <c r="I44" s="301"/>
      <c r="J44" s="302"/>
      <c r="K44" s="303"/>
      <c r="L44" s="304">
        <v>15.2</v>
      </c>
      <c r="M44" s="301"/>
      <c r="N44" s="305"/>
      <c r="O44" s="306"/>
      <c r="P44" s="307"/>
      <c r="Q44" s="301"/>
      <c r="R44" s="305"/>
      <c r="S44" s="306"/>
      <c r="T44" s="307"/>
      <c r="U44" s="301"/>
      <c r="V44" s="305"/>
      <c r="W44" s="306"/>
      <c r="X44" s="307"/>
      <c r="Y44" s="301"/>
    </row>
    <row r="45" spans="1:25">
      <c r="A45" s="296"/>
      <c r="B45" s="554" t="s">
        <v>340</v>
      </c>
      <c r="C45" s="555"/>
      <c r="D45" s="556"/>
      <c r="E45" s="297"/>
      <c r="F45" s="298"/>
      <c r="G45" s="299"/>
      <c r="H45" s="300"/>
      <c r="I45" s="301"/>
      <c r="J45" s="302"/>
      <c r="K45" s="303"/>
      <c r="L45" s="304">
        <v>4.5999999999999996</v>
      </c>
      <c r="M45" s="301"/>
      <c r="N45" s="305"/>
      <c r="O45" s="306"/>
      <c r="P45" s="307"/>
      <c r="Q45" s="301"/>
      <c r="R45" s="305"/>
      <c r="S45" s="306"/>
      <c r="T45" s="307"/>
      <c r="U45" s="301"/>
      <c r="V45" s="305"/>
      <c r="W45" s="306"/>
      <c r="X45" s="307"/>
      <c r="Y45" s="301"/>
    </row>
    <row r="46" spans="1:25">
      <c r="A46" s="296"/>
      <c r="B46" s="554"/>
      <c r="C46" s="555"/>
      <c r="D46" s="556"/>
      <c r="E46" s="297"/>
      <c r="F46" s="298"/>
      <c r="G46" s="299"/>
      <c r="H46" s="300"/>
      <c r="I46" s="301"/>
      <c r="J46" s="302"/>
      <c r="K46" s="303"/>
      <c r="L46" s="304"/>
      <c r="M46" s="301"/>
      <c r="N46" s="305"/>
      <c r="O46" s="306"/>
      <c r="P46" s="307"/>
      <c r="Q46" s="301"/>
      <c r="R46" s="305"/>
      <c r="S46" s="306"/>
      <c r="T46" s="307"/>
      <c r="U46" s="301"/>
      <c r="V46" s="305"/>
      <c r="W46" s="306"/>
      <c r="X46" s="307"/>
      <c r="Y46" s="301"/>
    </row>
    <row r="47" spans="1:25" ht="13.5" thickBot="1">
      <c r="A47" s="282">
        <v>6</v>
      </c>
      <c r="B47" s="569" t="s">
        <v>105</v>
      </c>
      <c r="C47" s="570"/>
      <c r="D47" s="571"/>
      <c r="E47" s="283"/>
      <c r="F47" s="284"/>
      <c r="G47" s="285"/>
      <c r="H47" s="286">
        <v>3415.7</v>
      </c>
      <c r="I47" s="287">
        <f>H47/12/F8*1000</f>
        <v>2.0689986862885053</v>
      </c>
      <c r="J47" s="288">
        <f>J34</f>
        <v>136568.20000000001</v>
      </c>
      <c r="K47" s="289"/>
      <c r="L47" s="290">
        <v>3067.6</v>
      </c>
      <c r="M47" s="287">
        <f>L47/12/J47*1000</f>
        <v>1.8718364402059433</v>
      </c>
      <c r="N47" s="291">
        <f>N28</f>
        <v>139832.6</v>
      </c>
      <c r="O47" s="292"/>
      <c r="P47" s="295" t="e">
        <f>#REF!</f>
        <v>#REF!</v>
      </c>
      <c r="Q47" s="287" t="e">
        <f>P47/12/N47*1000</f>
        <v>#REF!</v>
      </c>
      <c r="R47" s="291">
        <f>R28</f>
        <v>143097</v>
      </c>
      <c r="S47" s="292"/>
      <c r="T47" s="295" t="e">
        <f>#REF!</f>
        <v>#REF!</v>
      </c>
      <c r="U47" s="287" t="e">
        <f>T47/12/R47*1000</f>
        <v>#REF!</v>
      </c>
      <c r="V47" s="291">
        <f>V28</f>
        <v>146361.4</v>
      </c>
      <c r="W47" s="292"/>
      <c r="X47" s="295" t="e">
        <f>#REF!</f>
        <v>#REF!</v>
      </c>
      <c r="Y47" s="287" t="e">
        <f>X47/12/V47*1000</f>
        <v>#REF!</v>
      </c>
    </row>
    <row r="48" spans="1: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68">
    <mergeCell ref="B47:D47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29:D29"/>
    <mergeCell ref="B30:D30"/>
    <mergeCell ref="B33:D33"/>
    <mergeCell ref="B34:D34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B8:D8"/>
    <mergeCell ref="N3:Q3"/>
    <mergeCell ref="F4:F6"/>
    <mergeCell ref="G4:G6"/>
    <mergeCell ref="H4:H6"/>
    <mergeCell ref="I4:I6"/>
    <mergeCell ref="J4:J6"/>
    <mergeCell ref="K4:K6"/>
    <mergeCell ref="L4:L6"/>
    <mergeCell ref="O4:O6"/>
    <mergeCell ref="P4:P6"/>
    <mergeCell ref="M4:M6"/>
    <mergeCell ref="N4:N6"/>
    <mergeCell ref="Q4:Q6"/>
    <mergeCell ref="A1:M1"/>
    <mergeCell ref="A2:M2"/>
    <mergeCell ref="A3:A6"/>
    <mergeCell ref="B3:D6"/>
    <mergeCell ref="E3:E6"/>
    <mergeCell ref="F3:I3"/>
    <mergeCell ref="J3:M3"/>
    <mergeCell ref="R3:U3"/>
    <mergeCell ref="R4:R6"/>
    <mergeCell ref="S4:S6"/>
    <mergeCell ref="T4:T6"/>
    <mergeCell ref="U4:U6"/>
    <mergeCell ref="V3:Y3"/>
    <mergeCell ref="V4:V6"/>
    <mergeCell ref="W4:W6"/>
    <mergeCell ref="X4:X6"/>
    <mergeCell ref="Y4:Y6"/>
  </mergeCells>
  <phoneticPr fontId="2" type="noConversion"/>
  <pageMargins left="0.39370078740157483" right="0.19685039370078741" top="0.39370078740157483" bottom="0.19685039370078741" header="0.51181102362204722" footer="0.51181102362204722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topLeftCell="C14" workbookViewId="0">
      <selection activeCell="C3" sqref="A1:IV65536"/>
    </sheetView>
  </sheetViews>
  <sheetFormatPr defaultRowHeight="12.75"/>
  <cols>
    <col min="1" max="1" width="6.28515625" customWidth="1"/>
    <col min="4" max="4" width="9" customWidth="1"/>
    <col min="5" max="5" width="7.28515625" hidden="1" customWidth="1"/>
    <col min="6" max="6" width="10.28515625" customWidth="1"/>
    <col min="9" max="9" width="8.85546875" customWidth="1"/>
    <col min="10" max="10" width="10.7109375" customWidth="1"/>
    <col min="13" max="13" width="8.28515625" customWidth="1"/>
    <col min="14" max="14" width="8.85546875" customWidth="1"/>
    <col min="16" max="16" width="9.42578125" bestFit="1" customWidth="1"/>
  </cols>
  <sheetData>
    <row r="1" spans="1:18" ht="15.75">
      <c r="A1" s="473" t="s">
        <v>133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8" ht="16.5" thickBot="1">
      <c r="A2" s="534" t="s">
        <v>121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t="s">
        <v>330</v>
      </c>
    </row>
    <row r="3" spans="1:18" ht="15" customHeight="1">
      <c r="A3" s="535" t="s">
        <v>87</v>
      </c>
      <c r="B3" s="538" t="s">
        <v>88</v>
      </c>
      <c r="C3" s="539"/>
      <c r="D3" s="540"/>
      <c r="E3" s="545" t="s">
        <v>89</v>
      </c>
      <c r="F3" s="548" t="s">
        <v>102</v>
      </c>
      <c r="G3" s="521"/>
      <c r="H3" s="521"/>
      <c r="I3" s="522"/>
      <c r="J3" s="520" t="s">
        <v>103</v>
      </c>
      <c r="K3" s="521"/>
      <c r="L3" s="521"/>
      <c r="M3" s="522"/>
      <c r="N3" s="520" t="s">
        <v>104</v>
      </c>
      <c r="O3" s="521"/>
      <c r="P3" s="521"/>
      <c r="Q3" s="522"/>
    </row>
    <row r="4" spans="1:18" ht="14.25" customHeight="1">
      <c r="A4" s="536"/>
      <c r="B4" s="541"/>
      <c r="C4" s="542"/>
      <c r="D4" s="524"/>
      <c r="E4" s="546"/>
      <c r="F4" s="552" t="s">
        <v>90</v>
      </c>
      <c r="G4" s="526" t="s">
        <v>91</v>
      </c>
      <c r="H4" s="529" t="s">
        <v>92</v>
      </c>
      <c r="I4" s="531" t="s">
        <v>93</v>
      </c>
      <c r="J4" s="523" t="s">
        <v>90</v>
      </c>
      <c r="K4" s="526" t="s">
        <v>91</v>
      </c>
      <c r="L4" s="529" t="s">
        <v>92</v>
      </c>
      <c r="M4" s="531" t="s">
        <v>93</v>
      </c>
      <c r="N4" s="523" t="s">
        <v>90</v>
      </c>
      <c r="O4" s="526" t="s">
        <v>91</v>
      </c>
      <c r="P4" s="529" t="s">
        <v>92</v>
      </c>
      <c r="Q4" s="531" t="s">
        <v>93</v>
      </c>
    </row>
    <row r="5" spans="1:18">
      <c r="A5" s="536"/>
      <c r="B5" s="541"/>
      <c r="C5" s="542"/>
      <c r="D5" s="524"/>
      <c r="E5" s="546"/>
      <c r="F5" s="536"/>
      <c r="G5" s="527"/>
      <c r="H5" s="529"/>
      <c r="I5" s="532"/>
      <c r="J5" s="524"/>
      <c r="K5" s="527"/>
      <c r="L5" s="529"/>
      <c r="M5" s="532"/>
      <c r="N5" s="524"/>
      <c r="O5" s="527"/>
      <c r="P5" s="529"/>
      <c r="Q5" s="532"/>
    </row>
    <row r="6" spans="1:18" ht="25.5" customHeight="1" thickBot="1">
      <c r="A6" s="537"/>
      <c r="B6" s="543"/>
      <c r="C6" s="544"/>
      <c r="D6" s="525"/>
      <c r="E6" s="547"/>
      <c r="F6" s="537"/>
      <c r="G6" s="528"/>
      <c r="H6" s="530"/>
      <c r="I6" s="533"/>
      <c r="J6" s="525"/>
      <c r="K6" s="528"/>
      <c r="L6" s="530"/>
      <c r="M6" s="533"/>
      <c r="N6" s="525"/>
      <c r="O6" s="528"/>
      <c r="P6" s="530"/>
      <c r="Q6" s="533"/>
    </row>
    <row r="7" spans="1:18" ht="15" hidden="1">
      <c r="A7" s="218"/>
      <c r="B7" s="219"/>
      <c r="C7" s="220"/>
      <c r="D7" s="221"/>
      <c r="E7" s="222"/>
      <c r="F7" s="218"/>
      <c r="G7" s="223"/>
      <c r="H7" s="224"/>
      <c r="I7" s="225"/>
      <c r="J7" s="226"/>
      <c r="K7" s="227"/>
      <c r="L7" s="227"/>
      <c r="M7" s="228"/>
      <c r="N7" s="229"/>
      <c r="O7" s="230"/>
      <c r="P7" s="230"/>
      <c r="Q7" s="228"/>
    </row>
    <row r="8" spans="1:18" ht="14.25">
      <c r="A8" s="231"/>
      <c r="B8" s="549" t="s">
        <v>94</v>
      </c>
      <c r="C8" s="550"/>
      <c r="D8" s="551"/>
      <c r="E8" s="232" t="s">
        <v>176</v>
      </c>
      <c r="F8" s="233">
        <v>137574.6</v>
      </c>
      <c r="G8" s="234" t="e">
        <f>SUM(H8/F8/12*1000)</f>
        <v>#REF!</v>
      </c>
      <c r="H8" s="235" t="e">
        <f>SUM(H9+H21+H28+H33+H34+H47)</f>
        <v>#REF!</v>
      </c>
      <c r="I8" s="232" t="e">
        <f>H8/12/F8*1000</f>
        <v>#REF!</v>
      </c>
      <c r="J8" s="236">
        <f>J9</f>
        <v>136568.20000000001</v>
      </c>
      <c r="K8" s="234">
        <f t="shared" ref="K8:K13" si="0">SUM(L8/J8/12*1000)</f>
        <v>7.968143389163802</v>
      </c>
      <c r="L8" s="237">
        <f>L9+L21+L28+L33+L34+L47</f>
        <v>13058.34</v>
      </c>
      <c r="M8" s="238">
        <f>L8/12/J8*1000</f>
        <v>7.9681433891638003</v>
      </c>
      <c r="N8" s="239">
        <f>табл.1!I10*1000</f>
        <v>139832.60000000003</v>
      </c>
      <c r="O8" s="234" t="e">
        <f>SUM(P8/N8/12*1000)</f>
        <v>#REF!</v>
      </c>
      <c r="P8" s="234" t="e">
        <f>P9+P21+P28+P33+P34+P47</f>
        <v>#REF!</v>
      </c>
      <c r="Q8" s="238" t="e">
        <f>P8/12/N8*1000</f>
        <v>#REF!</v>
      </c>
    </row>
    <row r="9" spans="1:18" ht="30" customHeight="1">
      <c r="A9" s="231">
        <v>1</v>
      </c>
      <c r="B9" s="557" t="s">
        <v>95</v>
      </c>
      <c r="C9" s="558"/>
      <c r="D9" s="559"/>
      <c r="E9" s="240"/>
      <c r="F9" s="241">
        <f>SUM(F11:F20)</f>
        <v>137574.6</v>
      </c>
      <c r="G9" s="273">
        <f>SUM(H9/F9/12*1000)</f>
        <v>2.688572502966875</v>
      </c>
      <c r="H9" s="242">
        <f>SUM(H10:H20)</f>
        <v>4438.5514400000002</v>
      </c>
      <c r="I9" s="238">
        <f>H9/12/F8*1000</f>
        <v>2.6885725029668754</v>
      </c>
      <c r="J9" s="243">
        <f>J10+J12+J13</f>
        <v>136568.20000000001</v>
      </c>
      <c r="K9" s="273">
        <f t="shared" si="0"/>
        <v>1.6420977455464252</v>
      </c>
      <c r="L9" s="243">
        <f>L10+L12+L13+L11+L14+L15+L16+L17+L18+L19+L20</f>
        <v>2691.1</v>
      </c>
      <c r="M9" s="238">
        <f t="shared" ref="M9:M14" si="1">L9/12/J8*1000</f>
        <v>1.6420977455464252</v>
      </c>
      <c r="N9" s="293">
        <f>N8</f>
        <v>139832.60000000003</v>
      </c>
      <c r="O9" s="273" t="e">
        <f>SUM(P9/N9/12*1000)</f>
        <v>#REF!</v>
      </c>
      <c r="P9" s="243" t="e">
        <f>табл.1.2!F10</f>
        <v>#REF!</v>
      </c>
      <c r="Q9" s="238" t="e">
        <f t="shared" ref="Q9:Q14" si="2">P9/12/N8*1000</f>
        <v>#REF!</v>
      </c>
      <c r="R9" s="214">
        <f>P10+P11+P12+P13+P18+P19</f>
        <v>3854.193816</v>
      </c>
    </row>
    <row r="10" spans="1:18" ht="15">
      <c r="A10" s="231"/>
      <c r="B10" s="560" t="s">
        <v>96</v>
      </c>
      <c r="C10" s="561"/>
      <c r="D10" s="562"/>
      <c r="E10" s="240"/>
      <c r="F10" s="244">
        <f>F11</f>
        <v>80271.3</v>
      </c>
      <c r="G10" s="245">
        <v>1.1100000000000001</v>
      </c>
      <c r="H10" s="264">
        <f>SUM(F10*G10*12/1000)</f>
        <v>1069.213716</v>
      </c>
      <c r="I10" s="240">
        <f>H10/12/F8*1000</f>
        <v>0.64765692940411956</v>
      </c>
      <c r="J10" s="245">
        <f>79796.8+214</f>
        <v>80010.8</v>
      </c>
      <c r="K10" s="246">
        <f t="shared" si="0"/>
        <v>1.0808957457409913</v>
      </c>
      <c r="L10" s="247">
        <v>1037.8</v>
      </c>
      <c r="M10" s="240">
        <f t="shared" si="1"/>
        <v>0.6332611349738323</v>
      </c>
      <c r="N10" s="248">
        <f>N11</f>
        <v>83275.199999999997</v>
      </c>
      <c r="O10" s="249">
        <v>1.1100000000000001</v>
      </c>
      <c r="P10" s="249">
        <f>N10*O10*12/1000</f>
        <v>1109.2256640000001</v>
      </c>
      <c r="Q10" s="240">
        <f t="shared" si="2"/>
        <v>0.66104379093287247</v>
      </c>
    </row>
    <row r="11" spans="1:18">
      <c r="A11" s="250"/>
      <c r="B11" s="554" t="s">
        <v>116</v>
      </c>
      <c r="C11" s="555"/>
      <c r="D11" s="556"/>
      <c r="E11" s="240"/>
      <c r="F11" s="244">
        <f>F24</f>
        <v>80271.3</v>
      </c>
      <c r="G11" s="245">
        <v>0.17</v>
      </c>
      <c r="H11" s="264">
        <f>SUM(F11*G11*12/1000)</f>
        <v>163.75345200000001</v>
      </c>
      <c r="I11" s="240">
        <f>H11/12/F8*1000</f>
        <v>9.9190700899730033E-2</v>
      </c>
      <c r="J11" s="245">
        <f>J10</f>
        <v>80010.8</v>
      </c>
      <c r="K11" s="246">
        <f t="shared" si="0"/>
        <v>0.16997705309783176</v>
      </c>
      <c r="L11" s="247">
        <v>163.19999999999999</v>
      </c>
      <c r="M11" s="240">
        <f t="shared" si="1"/>
        <v>0.16997705309783176</v>
      </c>
      <c r="N11" s="248">
        <f>J11-214+856.4+1284.6+967.2+312.7+57.5</f>
        <v>83275.199999999997</v>
      </c>
      <c r="O11" s="254">
        <v>0.21</v>
      </c>
      <c r="P11" s="249">
        <f>N11*O11*12/1000</f>
        <v>209.85350399999996</v>
      </c>
      <c r="Q11" s="240">
        <f t="shared" si="2"/>
        <v>0.20999999999999996</v>
      </c>
    </row>
    <row r="12" spans="1:18">
      <c r="A12" s="250"/>
      <c r="B12" s="553" t="s">
        <v>118</v>
      </c>
      <c r="C12" s="553"/>
      <c r="D12" s="553"/>
      <c r="E12" s="255"/>
      <c r="F12" s="256">
        <f>F22</f>
        <v>33035.200000000004</v>
      </c>
      <c r="G12" s="257">
        <v>1.32</v>
      </c>
      <c r="H12" s="264">
        <f>SUM(F12*G12*12/1000)</f>
        <v>523.27756800000009</v>
      </c>
      <c r="I12" s="240">
        <f>H12/12/F8*1000</f>
        <v>0.31696595156373347</v>
      </c>
      <c r="J12" s="245">
        <v>29236.5</v>
      </c>
      <c r="K12" s="246">
        <f t="shared" si="0"/>
        <v>0.20037738215358653</v>
      </c>
      <c r="L12" s="247">
        <v>70.3</v>
      </c>
      <c r="M12" s="240">
        <f t="shared" si="1"/>
        <v>7.3219282063588076E-2</v>
      </c>
      <c r="N12" s="248">
        <f>J12</f>
        <v>29236.5</v>
      </c>
      <c r="O12" s="254">
        <v>0.21</v>
      </c>
      <c r="P12" s="249">
        <f>N12*O12*12/1000</f>
        <v>73.675979999999996</v>
      </c>
      <c r="Q12" s="240">
        <f t="shared" si="2"/>
        <v>7.3727412242780566E-2</v>
      </c>
    </row>
    <row r="13" spans="1:18">
      <c r="A13" s="250"/>
      <c r="B13" s="553" t="s">
        <v>117</v>
      </c>
      <c r="C13" s="553"/>
      <c r="D13" s="553"/>
      <c r="E13" s="255"/>
      <c r="F13" s="258">
        <f>F23</f>
        <v>24268.100000000006</v>
      </c>
      <c r="G13" s="257">
        <v>1.32</v>
      </c>
      <c r="H13" s="264">
        <f>SUM(F13*G13*12/1000)</f>
        <v>384.40670400000016</v>
      </c>
      <c r="I13" s="240">
        <f>H13/12/F8*1000</f>
        <v>0.23284742968542169</v>
      </c>
      <c r="J13" s="245">
        <v>27320.9</v>
      </c>
      <c r="K13" s="246">
        <f t="shared" si="0"/>
        <v>0.15250839711234501</v>
      </c>
      <c r="L13" s="247">
        <v>50</v>
      </c>
      <c r="M13" s="240">
        <f t="shared" si="1"/>
        <v>0.14251591902815547</v>
      </c>
      <c r="N13" s="248">
        <f>J13</f>
        <v>27320.9</v>
      </c>
      <c r="O13" s="254">
        <v>0.21</v>
      </c>
      <c r="P13" s="249">
        <f>N13*O13*12/1000</f>
        <v>68.848668000000004</v>
      </c>
      <c r="Q13" s="240">
        <f t="shared" si="2"/>
        <v>0.19624062387768715</v>
      </c>
    </row>
    <row r="14" spans="1:18">
      <c r="A14" s="250"/>
      <c r="B14" s="554" t="s">
        <v>97</v>
      </c>
      <c r="C14" s="555"/>
      <c r="D14" s="556"/>
      <c r="E14" s="255"/>
      <c r="F14" s="258"/>
      <c r="G14" s="259"/>
      <c r="H14" s="264">
        <v>40</v>
      </c>
      <c r="I14" s="240">
        <f>H14/12/F8*1000</f>
        <v>2.4229278757367519E-2</v>
      </c>
      <c r="J14" s="245"/>
      <c r="K14" s="247"/>
      <c r="L14" s="247">
        <v>33.6</v>
      </c>
      <c r="M14" s="240">
        <f t="shared" si="1"/>
        <v>0.10248564285949585</v>
      </c>
      <c r="N14" s="260"/>
      <c r="O14" s="261"/>
      <c r="P14" s="261"/>
      <c r="Q14" s="240">
        <f t="shared" si="2"/>
        <v>0</v>
      </c>
    </row>
    <row r="15" spans="1:18" ht="13.5" customHeight="1">
      <c r="A15" s="250"/>
      <c r="B15" s="554" t="s">
        <v>311</v>
      </c>
      <c r="C15" s="555"/>
      <c r="D15" s="556"/>
      <c r="E15" s="255"/>
      <c r="F15" s="258"/>
      <c r="G15" s="259"/>
      <c r="H15" s="264"/>
      <c r="I15" s="240"/>
      <c r="J15" s="245"/>
      <c r="K15" s="247"/>
      <c r="L15" s="247">
        <v>87.5</v>
      </c>
      <c r="M15" s="240"/>
      <c r="N15" s="260"/>
      <c r="O15" s="261"/>
      <c r="P15" s="261"/>
      <c r="Q15" s="255"/>
    </row>
    <row r="16" spans="1:18">
      <c r="A16" s="250"/>
      <c r="B16" s="554" t="s">
        <v>312</v>
      </c>
      <c r="C16" s="555"/>
      <c r="D16" s="556"/>
      <c r="E16" s="255"/>
      <c r="F16" s="258"/>
      <c r="G16" s="259"/>
      <c r="H16" s="264"/>
      <c r="I16" s="240"/>
      <c r="J16" s="245"/>
      <c r="K16" s="247"/>
      <c r="L16" s="247">
        <v>307.2</v>
      </c>
      <c r="M16" s="240"/>
      <c r="N16" s="260"/>
      <c r="O16" s="261"/>
      <c r="P16" s="261"/>
      <c r="Q16" s="255"/>
    </row>
    <row r="17" spans="1:18">
      <c r="A17" s="250"/>
      <c r="B17" s="554" t="s">
        <v>313</v>
      </c>
      <c r="C17" s="555"/>
      <c r="D17" s="556"/>
      <c r="E17" s="255"/>
      <c r="F17" s="258"/>
      <c r="G17" s="259"/>
      <c r="H17" s="264"/>
      <c r="I17" s="240"/>
      <c r="J17" s="245"/>
      <c r="K17" s="247"/>
      <c r="L17" s="247">
        <v>241.5</v>
      </c>
      <c r="M17" s="240"/>
      <c r="N17" s="260"/>
      <c r="O17" s="261"/>
      <c r="P17" s="261"/>
      <c r="Q17" s="255"/>
    </row>
    <row r="18" spans="1:18">
      <c r="A18" s="250"/>
      <c r="B18" s="554" t="s">
        <v>317</v>
      </c>
      <c r="C18" s="555"/>
      <c r="D18" s="556"/>
      <c r="E18" s="255"/>
      <c r="F18" s="258"/>
      <c r="G18" s="259"/>
      <c r="H18" s="264"/>
      <c r="I18" s="240"/>
      <c r="J18" s="245"/>
      <c r="K18" s="247"/>
      <c r="L18" s="247"/>
      <c r="M18" s="255"/>
      <c r="N18" s="260"/>
      <c r="O18" s="261"/>
      <c r="P18" s="261">
        <v>2392.59</v>
      </c>
      <c r="Q18" s="255"/>
    </row>
    <row r="19" spans="1:18" hidden="1">
      <c r="A19" s="250"/>
      <c r="B19" s="554"/>
      <c r="C19" s="555"/>
      <c r="D19" s="556"/>
      <c r="E19" s="255"/>
      <c r="F19" s="258"/>
      <c r="G19" s="259"/>
      <c r="H19" s="264"/>
      <c r="I19" s="240"/>
      <c r="J19" s="245"/>
      <c r="K19" s="247"/>
      <c r="L19" s="247"/>
      <c r="M19" s="255"/>
      <c r="N19" s="260"/>
      <c r="O19" s="261"/>
      <c r="P19" s="261"/>
      <c r="Q19" s="255"/>
    </row>
    <row r="20" spans="1:18">
      <c r="A20" s="250"/>
      <c r="B20" s="554" t="s">
        <v>98</v>
      </c>
      <c r="C20" s="555"/>
      <c r="D20" s="556"/>
      <c r="E20" s="262"/>
      <c r="F20" s="250"/>
      <c r="G20" s="263"/>
      <c r="H20" s="264">
        <f>2242.9+1.2+13.8</f>
        <v>2257.9</v>
      </c>
      <c r="I20" s="240">
        <f>H20/12/F8*1000</f>
        <v>1.3676822126565029</v>
      </c>
      <c r="J20" s="245"/>
      <c r="K20" s="247"/>
      <c r="L20" s="247">
        <v>700</v>
      </c>
      <c r="M20" s="255"/>
      <c r="N20" s="260"/>
      <c r="O20" s="261"/>
      <c r="P20" s="261"/>
      <c r="Q20" s="255"/>
    </row>
    <row r="21" spans="1:18" ht="26.25" customHeight="1">
      <c r="A21" s="231">
        <v>2</v>
      </c>
      <c r="B21" s="563" t="s">
        <v>328</v>
      </c>
      <c r="C21" s="564"/>
      <c r="D21" s="565"/>
      <c r="E21" s="262"/>
      <c r="F21" s="241">
        <f>SUM(F22:F24)</f>
        <v>137574.6</v>
      </c>
      <c r="G21" s="263"/>
      <c r="H21" s="242">
        <f>SUM(H22:H24)+0.05</f>
        <v>2517.6791840000005</v>
      </c>
      <c r="I21" s="238">
        <f>H21/12/F8*1000</f>
        <v>1.5250387692689398</v>
      </c>
      <c r="J21" s="243">
        <f>J9</f>
        <v>136568.20000000001</v>
      </c>
      <c r="K21" s="265">
        <f>SUM(L21/J21/12*1000)</f>
        <v>1.6216561883854854</v>
      </c>
      <c r="L21" s="243">
        <f>L22+L24+L25+L23+L26+L27</f>
        <v>2657.6</v>
      </c>
      <c r="M21" s="238">
        <f>L21/12/J21*1000</f>
        <v>1.6216561883854854</v>
      </c>
      <c r="N21" s="266">
        <f>N22+N23+N24</f>
        <v>139832.6</v>
      </c>
      <c r="O21" s="265">
        <f>SUM(P21/N21/12*1000)</f>
        <v>2.1624118171775875</v>
      </c>
      <c r="P21" s="243">
        <f>табл.1.2!F15</f>
        <v>3628.5080000000003</v>
      </c>
      <c r="Q21" s="238">
        <f>P21/12/N21*1000+0.01</f>
        <v>2.1724118171775872</v>
      </c>
      <c r="R21" s="216">
        <f>P22+P23+P24+P27+P25</f>
        <v>3628.5068879999999</v>
      </c>
    </row>
    <row r="22" spans="1:18">
      <c r="A22" s="250"/>
      <c r="B22" s="553" t="s">
        <v>118</v>
      </c>
      <c r="C22" s="553"/>
      <c r="D22" s="553"/>
      <c r="E22" s="262"/>
      <c r="F22" s="244">
        <f>'[4]расч. по с.ж'!$F$19</f>
        <v>33035.200000000004</v>
      </c>
      <c r="G22" s="263">
        <v>1.49</v>
      </c>
      <c r="H22" s="264">
        <f>F22*G22*12/1000</f>
        <v>590.66937600000006</v>
      </c>
      <c r="I22" s="240">
        <f>H22/12/F8*1000</f>
        <v>0.3577873241136082</v>
      </c>
      <c r="J22" s="245">
        <f>J12</f>
        <v>29236.5</v>
      </c>
      <c r="K22" s="246">
        <f>SUM(L22/J22/12*1000)</f>
        <v>1.4867260673017177</v>
      </c>
      <c r="L22" s="247">
        <v>521.6</v>
      </c>
      <c r="M22" s="240">
        <f>L22/12/J21*1000</f>
        <v>0.31827809597451434</v>
      </c>
      <c r="N22" s="248">
        <f>N12</f>
        <v>29236.5</v>
      </c>
      <c r="O22" s="249">
        <v>1.49</v>
      </c>
      <c r="P22" s="249">
        <f>N22*O22*12/1000</f>
        <v>522.74861999999996</v>
      </c>
      <c r="Q22" s="255"/>
    </row>
    <row r="23" spans="1:18">
      <c r="A23" s="250"/>
      <c r="B23" s="553" t="s">
        <v>117</v>
      </c>
      <c r="C23" s="553"/>
      <c r="D23" s="553"/>
      <c r="E23" s="262"/>
      <c r="F23" s="250">
        <f>'[4]расч. по с.ж'!$F$20</f>
        <v>24268.100000000006</v>
      </c>
      <c r="G23" s="267">
        <v>1.49</v>
      </c>
      <c r="H23" s="264">
        <f>F23*G23*12/1000</f>
        <v>433.91362800000013</v>
      </c>
      <c r="I23" s="240">
        <f>H23/12/F8*1000</f>
        <v>0.26283535623581683</v>
      </c>
      <c r="J23" s="245">
        <f>J13</f>
        <v>27320.9</v>
      </c>
      <c r="K23" s="246">
        <f>SUM(L23/J23/12*1000)</f>
        <v>1.4247334458235268</v>
      </c>
      <c r="L23" s="247">
        <v>467.1</v>
      </c>
      <c r="M23" s="240">
        <f>L23/12/J22*1000</f>
        <v>1.3313837155610284</v>
      </c>
      <c r="N23" s="248">
        <f>N13</f>
        <v>27320.9</v>
      </c>
      <c r="O23" s="249">
        <v>1.49</v>
      </c>
      <c r="P23" s="249">
        <f>N23*O23*12/1000</f>
        <v>488.49769200000003</v>
      </c>
      <c r="Q23" s="255"/>
    </row>
    <row r="24" spans="1:18">
      <c r="A24" s="250"/>
      <c r="B24" s="554" t="s">
        <v>116</v>
      </c>
      <c r="C24" s="555"/>
      <c r="D24" s="556"/>
      <c r="E24" s="262"/>
      <c r="F24" s="250">
        <f>'[4]расч. по с.ж'!$F$21</f>
        <v>80271.3</v>
      </c>
      <c r="G24" s="268">
        <v>1.55</v>
      </c>
      <c r="H24" s="264">
        <f>F24*G24*12/1000</f>
        <v>1493.0461800000003</v>
      </c>
      <c r="I24" s="240">
        <f>H24/12/F8*1000</f>
        <v>0.90438580232106813</v>
      </c>
      <c r="J24" s="245">
        <f>J11</f>
        <v>80010.8</v>
      </c>
      <c r="K24" s="246">
        <f>SUM(L24/J24/12*1000)</f>
        <v>1.5493741678206774</v>
      </c>
      <c r="L24" s="247">
        <v>1487.6</v>
      </c>
      <c r="M24" s="240">
        <f>L24/12/J23*1000</f>
        <v>4.537429830886488</v>
      </c>
      <c r="N24" s="248">
        <f>N11</f>
        <v>83275.199999999997</v>
      </c>
      <c r="O24" s="249">
        <v>1.49</v>
      </c>
      <c r="P24" s="249">
        <f>N24*O24*12/1000</f>
        <v>1488.9605759999999</v>
      </c>
      <c r="Q24" s="255"/>
    </row>
    <row r="25" spans="1:18">
      <c r="A25" s="250"/>
      <c r="B25" s="554" t="s">
        <v>315</v>
      </c>
      <c r="C25" s="555"/>
      <c r="D25" s="556"/>
      <c r="E25" s="262"/>
      <c r="F25" s="250"/>
      <c r="G25" s="268"/>
      <c r="H25" s="264"/>
      <c r="I25" s="240"/>
      <c r="J25" s="245"/>
      <c r="K25" s="269"/>
      <c r="L25" s="247">
        <v>69.3</v>
      </c>
      <c r="M25" s="240">
        <f>L25/12/J24*1000</f>
        <v>7.2177756002939603E-2</v>
      </c>
      <c r="N25" s="260"/>
      <c r="O25" s="261"/>
      <c r="P25" s="249">
        <v>940</v>
      </c>
      <c r="Q25" s="255"/>
      <c r="R25" s="70" t="s">
        <v>329</v>
      </c>
    </row>
    <row r="26" spans="1:18">
      <c r="A26" s="250"/>
      <c r="B26" s="554" t="s">
        <v>314</v>
      </c>
      <c r="C26" s="555"/>
      <c r="D26" s="556"/>
      <c r="E26" s="262"/>
      <c r="F26" s="250"/>
      <c r="G26" s="268"/>
      <c r="H26" s="264"/>
      <c r="I26" s="240"/>
      <c r="J26" s="245"/>
      <c r="K26" s="269"/>
      <c r="L26" s="247">
        <v>112</v>
      </c>
      <c r="M26" s="240">
        <f>L26/12/J24*1000</f>
        <v>0.11665091879262966</v>
      </c>
      <c r="N26" s="260"/>
      <c r="O26" s="261"/>
      <c r="P26" s="261"/>
      <c r="Q26" s="255"/>
    </row>
    <row r="27" spans="1:18">
      <c r="A27" s="250"/>
      <c r="B27" s="554" t="s">
        <v>317</v>
      </c>
      <c r="C27" s="555"/>
      <c r="D27" s="556"/>
      <c r="E27" s="262"/>
      <c r="F27" s="250"/>
      <c r="G27" s="268"/>
      <c r="H27" s="264"/>
      <c r="I27" s="240"/>
      <c r="J27" s="245"/>
      <c r="K27" s="269"/>
      <c r="L27" s="247"/>
      <c r="M27" s="255"/>
      <c r="N27" s="260"/>
      <c r="O27" s="261"/>
      <c r="P27" s="254">
        <v>188.3</v>
      </c>
      <c r="Q27" s="255"/>
    </row>
    <row r="28" spans="1:18" ht="37.5" customHeight="1">
      <c r="A28" s="212">
        <v>3</v>
      </c>
      <c r="B28" s="566" t="s">
        <v>147</v>
      </c>
      <c r="C28" s="567"/>
      <c r="D28" s="568"/>
      <c r="E28" s="270"/>
      <c r="F28" s="271">
        <f>F29</f>
        <v>137574.6</v>
      </c>
      <c r="G28" s="272"/>
      <c r="H28" s="242" t="e">
        <f>H29+H30</f>
        <v>#REF!</v>
      </c>
      <c r="I28" s="238" t="e">
        <f>H28/12/F8*1000</f>
        <v>#REF!</v>
      </c>
      <c r="J28" s="243">
        <f>J21</f>
        <v>136568.20000000001</v>
      </c>
      <c r="K28" s="273">
        <f>SUM(L28/J28/12*1000)</f>
        <v>0.36611744168847504</v>
      </c>
      <c r="L28" s="242">
        <f>L29+L30</f>
        <v>600</v>
      </c>
      <c r="M28" s="238">
        <f>L28/12/J28*1000</f>
        <v>0.36611744168847504</v>
      </c>
      <c r="N28" s="266">
        <f>N21</f>
        <v>139832.6</v>
      </c>
      <c r="O28" s="273" t="e">
        <f>SUM(P28/N28/12*1000)</f>
        <v>#REF!</v>
      </c>
      <c r="P28" s="274" t="e">
        <f>табл.1.2!F23+табл.1.2!F24</f>
        <v>#REF!</v>
      </c>
      <c r="Q28" s="238" t="e">
        <f>P28/12/N28*1000</f>
        <v>#REF!</v>
      </c>
      <c r="R28" s="213" t="e">
        <f>P29+P30</f>
        <v>#REF!</v>
      </c>
    </row>
    <row r="29" spans="1:18">
      <c r="A29" s="250"/>
      <c r="B29" s="554" t="s">
        <v>99</v>
      </c>
      <c r="C29" s="555"/>
      <c r="D29" s="556"/>
      <c r="E29" s="262"/>
      <c r="F29" s="244">
        <f>'[4]расч. по с.ж'!$F$23</f>
        <v>137574.6</v>
      </c>
      <c r="G29" s="263">
        <v>0.22</v>
      </c>
      <c r="H29" s="264">
        <f>F29*G29*12/1000</f>
        <v>363.19694400000003</v>
      </c>
      <c r="I29" s="240">
        <f>H29/12/F8*1000</f>
        <v>0.22</v>
      </c>
      <c r="J29" s="245">
        <f>J21</f>
        <v>136568.20000000001</v>
      </c>
      <c r="K29" s="246">
        <f>SUM(L29/J29/12*1000)</f>
        <v>0.21680254505319199</v>
      </c>
      <c r="L29" s="247">
        <v>355.3</v>
      </c>
      <c r="M29" s="240">
        <f>L29/12/J28*1000</f>
        <v>0.21680254505319196</v>
      </c>
      <c r="N29" s="275">
        <f>N28</f>
        <v>139832.6</v>
      </c>
      <c r="O29" s="261"/>
      <c r="P29" s="249" t="e">
        <f>табл.1.2!F23</f>
        <v>#REF!</v>
      </c>
      <c r="Q29" s="255"/>
    </row>
    <row r="30" spans="1:18">
      <c r="A30" s="276"/>
      <c r="B30" s="554" t="s">
        <v>100</v>
      </c>
      <c r="C30" s="555"/>
      <c r="D30" s="556"/>
      <c r="E30" s="262"/>
      <c r="F30" s="244" t="e">
        <f>H30*1000/12/G30</f>
        <v>#REF!</v>
      </c>
      <c r="G30" s="263">
        <v>0.39</v>
      </c>
      <c r="H30" s="264" t="e">
        <f>#REF!</f>
        <v>#REF!</v>
      </c>
      <c r="I30" s="240" t="e">
        <f>H30/12/F8*1000</f>
        <v>#REF!</v>
      </c>
      <c r="J30" s="245">
        <v>52282.1</v>
      </c>
      <c r="K30" s="246">
        <f>SUM(L30/J30/12*1000)</f>
        <v>0.39003151492894639</v>
      </c>
      <c r="L30" s="247">
        <v>244.7</v>
      </c>
      <c r="M30" s="240">
        <f>L30/12/J29*1000</f>
        <v>0.14931489663528305</v>
      </c>
      <c r="N30" s="275">
        <f>J30</f>
        <v>52282.1</v>
      </c>
      <c r="O30" s="261"/>
      <c r="P30" s="249" t="e">
        <f>табл.1.2!F24</f>
        <v>#REF!</v>
      </c>
      <c r="Q30" s="255"/>
    </row>
    <row r="31" spans="1:18" hidden="1">
      <c r="A31" s="276"/>
      <c r="B31" s="251"/>
      <c r="C31" s="252"/>
      <c r="D31" s="253"/>
      <c r="E31" s="262"/>
      <c r="F31" s="244"/>
      <c r="G31" s="263"/>
      <c r="H31" s="264"/>
      <c r="I31" s="240"/>
      <c r="J31" s="245"/>
      <c r="K31" s="247"/>
      <c r="L31" s="247"/>
      <c r="M31" s="255"/>
      <c r="N31" s="277"/>
      <c r="O31" s="261"/>
      <c r="P31" s="261"/>
      <c r="Q31" s="255"/>
    </row>
    <row r="32" spans="1:18" hidden="1">
      <c r="A32" s="276"/>
      <c r="B32" s="251"/>
      <c r="C32" s="252"/>
      <c r="D32" s="253"/>
      <c r="E32" s="262"/>
      <c r="F32" s="244"/>
      <c r="G32" s="263"/>
      <c r="H32" s="264"/>
      <c r="I32" s="240"/>
      <c r="J32" s="245"/>
      <c r="K32" s="247"/>
      <c r="L32" s="247"/>
      <c r="M32" s="255"/>
      <c r="N32" s="277"/>
      <c r="O32" s="261"/>
      <c r="P32" s="261"/>
      <c r="Q32" s="255"/>
    </row>
    <row r="33" spans="1:17" ht="17.25" customHeight="1">
      <c r="A33" s="278">
        <v>4</v>
      </c>
      <c r="B33" s="563" t="s">
        <v>151</v>
      </c>
      <c r="C33" s="564"/>
      <c r="D33" s="565"/>
      <c r="E33" s="262"/>
      <c r="F33" s="250"/>
      <c r="G33" s="267"/>
      <c r="H33" s="279">
        <v>3975.6</v>
      </c>
      <c r="I33" s="238">
        <f>H33/12/F8*1000</f>
        <v>2.4081480156947577</v>
      </c>
      <c r="J33" s="243">
        <f>J28</f>
        <v>136568.20000000001</v>
      </c>
      <c r="K33" s="247"/>
      <c r="L33" s="273">
        <v>3695.04</v>
      </c>
      <c r="M33" s="238">
        <f>L33/12/J33*1000</f>
        <v>2.2546976528943046</v>
      </c>
      <c r="N33" s="280">
        <f>N28</f>
        <v>139832.6</v>
      </c>
      <c r="O33" s="172"/>
      <c r="P33" s="294" t="e">
        <f>#REF!</f>
        <v>#REF!</v>
      </c>
      <c r="Q33" s="238" t="e">
        <f>P33/12/N33*1000</f>
        <v>#REF!</v>
      </c>
    </row>
    <row r="34" spans="1:17">
      <c r="A34" s="278">
        <v>5</v>
      </c>
      <c r="B34" s="563" t="s">
        <v>101</v>
      </c>
      <c r="C34" s="564"/>
      <c r="D34" s="565"/>
      <c r="E34" s="262"/>
      <c r="F34" s="250"/>
      <c r="G34" s="267"/>
      <c r="H34" s="279">
        <v>596.20000000000005</v>
      </c>
      <c r="I34" s="238">
        <f>H34/12/F8*1000</f>
        <v>0.36113739987856286</v>
      </c>
      <c r="J34" s="243">
        <f>J33</f>
        <v>136568.20000000001</v>
      </c>
      <c r="K34" s="247"/>
      <c r="L34" s="234">
        <f>SUM(L35:L46)</f>
        <v>346.99999999999994</v>
      </c>
      <c r="M34" s="238">
        <f>L34/12/J34*1000</f>
        <v>0.211737920443168</v>
      </c>
      <c r="N34" s="281">
        <f>N28</f>
        <v>139832.6</v>
      </c>
      <c r="O34" s="261"/>
      <c r="P34" s="249" t="e">
        <f>#REF!</f>
        <v>#REF!</v>
      </c>
      <c r="Q34" s="238" t="e">
        <f>P34/12/N34*1000</f>
        <v>#REF!</v>
      </c>
    </row>
    <row r="35" spans="1:17">
      <c r="A35" s="296"/>
      <c r="B35" s="554" t="s">
        <v>117</v>
      </c>
      <c r="C35" s="555"/>
      <c r="D35" s="556"/>
      <c r="E35" s="297"/>
      <c r="F35" s="298"/>
      <c r="G35" s="299"/>
      <c r="H35" s="300"/>
      <c r="I35" s="301"/>
      <c r="J35" s="302"/>
      <c r="K35" s="303"/>
      <c r="L35" s="304">
        <v>31.2</v>
      </c>
      <c r="M35" s="301"/>
      <c r="N35" s="305"/>
      <c r="O35" s="306"/>
      <c r="P35" s="307"/>
      <c r="Q35" s="301"/>
    </row>
    <row r="36" spans="1:17" ht="10.5" customHeight="1">
      <c r="A36" s="296"/>
      <c r="B36" s="554" t="s">
        <v>332</v>
      </c>
      <c r="C36" s="555"/>
      <c r="D36" s="556"/>
      <c r="E36" s="297"/>
      <c r="F36" s="298"/>
      <c r="G36" s="299"/>
      <c r="H36" s="300"/>
      <c r="I36" s="301"/>
      <c r="J36" s="302"/>
      <c r="K36" s="303"/>
      <c r="L36" s="304">
        <v>7</v>
      </c>
      <c r="M36" s="301"/>
      <c r="N36" s="305"/>
      <c r="O36" s="306"/>
      <c r="P36" s="307"/>
      <c r="Q36" s="301"/>
    </row>
    <row r="37" spans="1:17">
      <c r="A37" s="296"/>
      <c r="B37" s="554" t="s">
        <v>331</v>
      </c>
      <c r="C37" s="555"/>
      <c r="D37" s="556"/>
      <c r="E37" s="297"/>
      <c r="F37" s="298"/>
      <c r="G37" s="299"/>
      <c r="H37" s="300"/>
      <c r="I37" s="301"/>
      <c r="J37" s="302"/>
      <c r="K37" s="303"/>
      <c r="L37" s="304">
        <v>60</v>
      </c>
      <c r="M37" s="301"/>
      <c r="N37" s="305"/>
      <c r="O37" s="306"/>
      <c r="P37" s="307"/>
      <c r="Q37" s="301"/>
    </row>
    <row r="38" spans="1:17">
      <c r="A38" s="296"/>
      <c r="B38" s="554" t="s">
        <v>333</v>
      </c>
      <c r="C38" s="555"/>
      <c r="D38" s="556"/>
      <c r="E38" s="297"/>
      <c r="F38" s="298"/>
      <c r="G38" s="299"/>
      <c r="H38" s="300"/>
      <c r="I38" s="301"/>
      <c r="J38" s="302"/>
      <c r="K38" s="303"/>
      <c r="L38" s="304">
        <v>76</v>
      </c>
      <c r="M38" s="301"/>
      <c r="N38" s="305"/>
      <c r="O38" s="306"/>
      <c r="P38" s="307"/>
      <c r="Q38" s="301"/>
    </row>
    <row r="39" spans="1:17">
      <c r="A39" s="296"/>
      <c r="B39" s="554" t="s">
        <v>334</v>
      </c>
      <c r="C39" s="555"/>
      <c r="D39" s="556"/>
      <c r="E39" s="297"/>
      <c r="F39" s="298"/>
      <c r="G39" s="299"/>
      <c r="H39" s="300"/>
      <c r="I39" s="301"/>
      <c r="J39" s="302"/>
      <c r="K39" s="303"/>
      <c r="L39" s="304">
        <v>4</v>
      </c>
      <c r="M39" s="301"/>
      <c r="N39" s="305"/>
      <c r="O39" s="306"/>
      <c r="P39" s="307"/>
      <c r="Q39" s="301"/>
    </row>
    <row r="40" spans="1:17">
      <c r="A40" s="296"/>
      <c r="B40" s="554" t="s">
        <v>335</v>
      </c>
      <c r="C40" s="555"/>
      <c r="D40" s="556"/>
      <c r="E40" s="297"/>
      <c r="F40" s="298"/>
      <c r="G40" s="299"/>
      <c r="H40" s="300"/>
      <c r="I40" s="301"/>
      <c r="J40" s="302"/>
      <c r="K40" s="303"/>
      <c r="L40" s="304">
        <v>132</v>
      </c>
      <c r="M40" s="301"/>
      <c r="N40" s="305"/>
      <c r="O40" s="306"/>
      <c r="P40" s="307"/>
      <c r="Q40" s="301"/>
    </row>
    <row r="41" spans="1:17">
      <c r="A41" s="296"/>
      <c r="B41" s="554" t="s">
        <v>336</v>
      </c>
      <c r="C41" s="555"/>
      <c r="D41" s="556"/>
      <c r="E41" s="297"/>
      <c r="F41" s="298"/>
      <c r="G41" s="299"/>
      <c r="H41" s="300"/>
      <c r="I41" s="301"/>
      <c r="J41" s="302"/>
      <c r="K41" s="303"/>
      <c r="L41" s="304">
        <v>6.4</v>
      </c>
      <c r="M41" s="301"/>
      <c r="N41" s="305"/>
      <c r="O41" s="306"/>
      <c r="P41" s="307"/>
      <c r="Q41" s="301"/>
    </row>
    <row r="42" spans="1:17">
      <c r="A42" s="296"/>
      <c r="B42" s="554" t="s">
        <v>337</v>
      </c>
      <c r="C42" s="555"/>
      <c r="D42" s="556"/>
      <c r="E42" s="297"/>
      <c r="F42" s="298"/>
      <c r="G42" s="299"/>
      <c r="H42" s="300"/>
      <c r="I42" s="301"/>
      <c r="J42" s="302"/>
      <c r="K42" s="303"/>
      <c r="L42" s="304">
        <v>3.7</v>
      </c>
      <c r="M42" s="301"/>
      <c r="N42" s="305"/>
      <c r="O42" s="306"/>
      <c r="P42" s="307"/>
      <c r="Q42" s="301"/>
    </row>
    <row r="43" spans="1:17">
      <c r="A43" s="296"/>
      <c r="B43" s="554" t="s">
        <v>338</v>
      </c>
      <c r="C43" s="555"/>
      <c r="D43" s="556"/>
      <c r="E43" s="297"/>
      <c r="F43" s="298"/>
      <c r="G43" s="299"/>
      <c r="H43" s="300"/>
      <c r="I43" s="301"/>
      <c r="J43" s="302"/>
      <c r="K43" s="303"/>
      <c r="L43" s="304">
        <v>6.9</v>
      </c>
      <c r="M43" s="301"/>
      <c r="N43" s="305"/>
      <c r="O43" s="306"/>
      <c r="P43" s="307"/>
      <c r="Q43" s="301"/>
    </row>
    <row r="44" spans="1:17" ht="12.75" customHeight="1">
      <c r="A44" s="296"/>
      <c r="B44" s="554" t="s">
        <v>339</v>
      </c>
      <c r="C44" s="555"/>
      <c r="D44" s="556"/>
      <c r="E44" s="297"/>
      <c r="F44" s="298"/>
      <c r="G44" s="299"/>
      <c r="H44" s="300"/>
      <c r="I44" s="301"/>
      <c r="J44" s="302"/>
      <c r="K44" s="303"/>
      <c r="L44" s="304">
        <v>15.2</v>
      </c>
      <c r="M44" s="301"/>
      <c r="N44" s="305"/>
      <c r="O44" s="306"/>
      <c r="P44" s="307"/>
      <c r="Q44" s="301"/>
    </row>
    <row r="45" spans="1:17">
      <c r="A45" s="296"/>
      <c r="B45" s="554" t="s">
        <v>340</v>
      </c>
      <c r="C45" s="555"/>
      <c r="D45" s="556"/>
      <c r="E45" s="297"/>
      <c r="F45" s="298"/>
      <c r="G45" s="299"/>
      <c r="H45" s="300"/>
      <c r="I45" s="301"/>
      <c r="J45" s="302"/>
      <c r="K45" s="303"/>
      <c r="L45" s="304">
        <v>4.5999999999999996</v>
      </c>
      <c r="M45" s="301"/>
      <c r="N45" s="305"/>
      <c r="O45" s="306"/>
      <c r="P45" s="307"/>
      <c r="Q45" s="301"/>
    </row>
    <row r="46" spans="1:17">
      <c r="A46" s="296"/>
      <c r="B46" s="554"/>
      <c r="C46" s="555"/>
      <c r="D46" s="556"/>
      <c r="E46" s="297"/>
      <c r="F46" s="298"/>
      <c r="G46" s="299"/>
      <c r="H46" s="300"/>
      <c r="I46" s="301"/>
      <c r="J46" s="302"/>
      <c r="K46" s="303"/>
      <c r="L46" s="304"/>
      <c r="M46" s="301"/>
      <c r="N46" s="305"/>
      <c r="O46" s="306"/>
      <c r="P46" s="307"/>
      <c r="Q46" s="301"/>
    </row>
    <row r="47" spans="1:17" ht="13.5" thickBot="1">
      <c r="A47" s="282">
        <v>6</v>
      </c>
      <c r="B47" s="569" t="s">
        <v>105</v>
      </c>
      <c r="C47" s="570"/>
      <c r="D47" s="571"/>
      <c r="E47" s="283"/>
      <c r="F47" s="284"/>
      <c r="G47" s="285"/>
      <c r="H47" s="286">
        <v>3415.7</v>
      </c>
      <c r="I47" s="287">
        <f>H47/12/F8*1000</f>
        <v>2.0689986862885053</v>
      </c>
      <c r="J47" s="288">
        <f>J34</f>
        <v>136568.20000000001</v>
      </c>
      <c r="K47" s="289"/>
      <c r="L47" s="290">
        <v>3067.6</v>
      </c>
      <c r="M47" s="287">
        <f>L47/12/J47*1000</f>
        <v>1.8718364402059433</v>
      </c>
      <c r="N47" s="291">
        <f>N28</f>
        <v>139832.6</v>
      </c>
      <c r="O47" s="292"/>
      <c r="P47" s="295" t="e">
        <f>#REF!</f>
        <v>#REF!</v>
      </c>
      <c r="Q47" s="287" t="e">
        <f>P47/12/N47*1000</f>
        <v>#REF!</v>
      </c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58">
    <mergeCell ref="A1:M1"/>
    <mergeCell ref="A2:M2"/>
    <mergeCell ref="A3:A6"/>
    <mergeCell ref="B3:D6"/>
    <mergeCell ref="E3:E6"/>
    <mergeCell ref="F3:I3"/>
    <mergeCell ref="J3:M3"/>
    <mergeCell ref="N3:Q3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6:D36"/>
    <mergeCell ref="B40:D40"/>
    <mergeCell ref="B41:D41"/>
    <mergeCell ref="B42:D42"/>
    <mergeCell ref="B29:D29"/>
    <mergeCell ref="B30:D30"/>
    <mergeCell ref="B33:D33"/>
    <mergeCell ref="B34:D34"/>
    <mergeCell ref="B35:D35"/>
    <mergeCell ref="B37:D37"/>
    <mergeCell ref="B38:D38"/>
    <mergeCell ref="B39:D39"/>
    <mergeCell ref="B43:D43"/>
    <mergeCell ref="B44:D44"/>
    <mergeCell ref="B45:D45"/>
    <mergeCell ref="B46:D46"/>
    <mergeCell ref="B47:D47"/>
  </mergeCells>
  <phoneticPr fontId="2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topLeftCell="A23" workbookViewId="0">
      <selection activeCell="B38" sqref="B38"/>
    </sheetView>
  </sheetViews>
  <sheetFormatPr defaultRowHeight="12.75"/>
  <cols>
    <col min="1" max="1" width="5" style="73" customWidth="1"/>
    <col min="2" max="2" width="33.140625" customWidth="1"/>
    <col min="3" max="3" width="10.5703125" customWidth="1"/>
    <col min="4" max="4" width="9.28515625" customWidth="1"/>
    <col min="5" max="5" width="8.85546875" customWidth="1"/>
    <col min="6" max="6" width="9.85546875" customWidth="1"/>
    <col min="7" max="7" width="10.5703125" customWidth="1"/>
    <col min="9" max="9" width="9.85546875" customWidth="1"/>
  </cols>
  <sheetData>
    <row r="1" spans="1:12" ht="18.75">
      <c r="A1" s="579" t="s">
        <v>114</v>
      </c>
      <c r="B1" s="579"/>
      <c r="C1" s="579"/>
      <c r="D1" s="579"/>
      <c r="E1" s="579"/>
      <c r="F1" s="579"/>
      <c r="G1" s="579"/>
      <c r="H1" s="579"/>
    </row>
    <row r="2" spans="1:12" ht="15.75">
      <c r="A2" s="473" t="s">
        <v>133</v>
      </c>
      <c r="B2" s="473"/>
      <c r="C2" s="473"/>
      <c r="D2" s="473"/>
      <c r="E2" s="473"/>
      <c r="F2" s="473"/>
      <c r="G2" s="473"/>
      <c r="H2" s="473"/>
    </row>
    <row r="3" spans="1:12" ht="15.75">
      <c r="A3" s="473" t="s">
        <v>121</v>
      </c>
      <c r="B3" s="473"/>
      <c r="C3" s="473"/>
      <c r="D3" s="473"/>
      <c r="E3" s="473"/>
      <c r="F3" s="473"/>
      <c r="G3" s="473"/>
      <c r="H3" s="473"/>
    </row>
    <row r="4" spans="1:12" ht="6" customHeight="1"/>
    <row r="5" spans="1:12">
      <c r="A5" s="168" t="s">
        <v>107</v>
      </c>
      <c r="B5" s="580" t="s">
        <v>393</v>
      </c>
      <c r="C5" s="583" t="s">
        <v>134</v>
      </c>
      <c r="D5" s="583"/>
      <c r="E5" s="583"/>
      <c r="F5" s="583" t="s">
        <v>135</v>
      </c>
      <c r="G5" s="583"/>
      <c r="H5" s="583"/>
    </row>
    <row r="6" spans="1:12">
      <c r="A6" s="169" t="s">
        <v>108</v>
      </c>
      <c r="B6" s="581"/>
      <c r="C6" s="583" t="s">
        <v>136</v>
      </c>
      <c r="D6" s="583"/>
      <c r="E6" s="583"/>
      <c r="F6" s="583" t="s">
        <v>124</v>
      </c>
      <c r="G6" s="583"/>
      <c r="H6" s="583"/>
      <c r="L6" t="s">
        <v>394</v>
      </c>
    </row>
    <row r="7" spans="1:12" ht="51">
      <c r="A7" s="170"/>
      <c r="B7" s="582"/>
      <c r="C7" s="171" t="s">
        <v>137</v>
      </c>
      <c r="D7" s="171" t="s">
        <v>138</v>
      </c>
      <c r="E7" s="171" t="s">
        <v>139</v>
      </c>
      <c r="F7" s="171" t="s">
        <v>137</v>
      </c>
      <c r="G7" s="171" t="s">
        <v>138</v>
      </c>
      <c r="H7" s="171" t="s">
        <v>139</v>
      </c>
      <c r="I7">
        <v>2012</v>
      </c>
      <c r="J7">
        <v>2011</v>
      </c>
    </row>
    <row r="8" spans="1:12" ht="15.75">
      <c r="A8" s="74">
        <v>1</v>
      </c>
      <c r="B8" s="82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J8" t="s">
        <v>122</v>
      </c>
    </row>
    <row r="9" spans="1:12" ht="14.25" customHeight="1">
      <c r="A9" s="78"/>
      <c r="B9" s="572" t="s">
        <v>110</v>
      </c>
      <c r="C9" s="573"/>
      <c r="D9" s="574"/>
      <c r="E9" s="574"/>
      <c r="F9" s="574"/>
      <c r="G9" s="574"/>
      <c r="H9" s="575"/>
    </row>
    <row r="10" spans="1:12" ht="27" customHeight="1">
      <c r="A10" s="318">
        <v>1</v>
      </c>
      <c r="B10" s="77" t="s">
        <v>140</v>
      </c>
      <c r="C10" s="82" t="e">
        <f>#REF!</f>
        <v>#REF!</v>
      </c>
      <c r="D10" s="166" t="e">
        <f>C10/12/D36</f>
        <v>#REF!</v>
      </c>
      <c r="E10" s="166" t="e">
        <f>D10/D32*100</f>
        <v>#REF!</v>
      </c>
      <c r="F10" s="165" t="e">
        <f>F11+F12+F13+F14</f>
        <v>#REF!</v>
      </c>
      <c r="G10" s="166" t="e">
        <f>F10/12/I10</f>
        <v>#REF!</v>
      </c>
      <c r="H10" s="166" t="e">
        <f>G10/G32*100</f>
        <v>#REF!</v>
      </c>
      <c r="I10">
        <f>(137268.1+312.7+1284.6+967.2)/1000</f>
        <v>139.83260000000004</v>
      </c>
      <c r="J10" s="163">
        <v>136.6</v>
      </c>
    </row>
    <row r="11" spans="1:12" ht="14.25" customHeight="1">
      <c r="A11" s="319"/>
      <c r="B11" s="75" t="s">
        <v>141</v>
      </c>
      <c r="C11" s="176" t="e">
        <f>C10*L11</f>
        <v>#REF!</v>
      </c>
      <c r="D11" s="83"/>
      <c r="E11" s="83"/>
      <c r="F11" s="164" t="e">
        <f>#REF!/1000</f>
        <v>#REF!</v>
      </c>
      <c r="G11" s="83"/>
      <c r="H11" s="83"/>
      <c r="L11" s="146" t="e">
        <f>F11/F10</f>
        <v>#REF!</v>
      </c>
    </row>
    <row r="12" spans="1:12" ht="27" customHeight="1">
      <c r="A12" s="319"/>
      <c r="B12" s="75" t="s">
        <v>142</v>
      </c>
      <c r="C12" s="176" t="e">
        <f>C10*L12</f>
        <v>#REF!</v>
      </c>
      <c r="D12" s="83"/>
      <c r="E12" s="83"/>
      <c r="F12" s="164" t="e">
        <f>#REF!/1000</f>
        <v>#REF!</v>
      </c>
      <c r="G12" s="83"/>
      <c r="H12" s="83"/>
      <c r="I12" s="174" t="e">
        <f t="shared" ref="I12:I32" si="0">F12/C12*100</f>
        <v>#REF!</v>
      </c>
      <c r="L12" s="146" t="e">
        <f>F12/F10</f>
        <v>#REF!</v>
      </c>
    </row>
    <row r="13" spans="1:12" ht="13.5" customHeight="1">
      <c r="A13" s="319"/>
      <c r="B13" s="75" t="s">
        <v>398</v>
      </c>
      <c r="C13" s="176" t="e">
        <f>C10*L13</f>
        <v>#REF!</v>
      </c>
      <c r="D13" s="89"/>
      <c r="E13" s="89"/>
      <c r="F13" s="164" t="e">
        <f>#REF!/1000</f>
        <v>#REF!</v>
      </c>
      <c r="G13" s="89"/>
      <c r="H13" s="89"/>
      <c r="I13" s="174" t="e">
        <f t="shared" si="0"/>
        <v>#REF!</v>
      </c>
      <c r="L13" s="146" t="e">
        <f>F13/F10</f>
        <v>#REF!</v>
      </c>
    </row>
    <row r="14" spans="1:12" ht="28.5" customHeight="1">
      <c r="A14" s="319"/>
      <c r="B14" s="75" t="s">
        <v>143</v>
      </c>
      <c r="C14" s="176" t="e">
        <f>C10*L14</f>
        <v>#REF!</v>
      </c>
      <c r="D14" s="83"/>
      <c r="E14" s="83"/>
      <c r="F14" s="164" t="e">
        <f>F11*0.15</f>
        <v>#REF!</v>
      </c>
      <c r="G14" s="83"/>
      <c r="H14" s="83"/>
      <c r="I14" s="174" t="e">
        <f t="shared" si="0"/>
        <v>#REF!</v>
      </c>
      <c r="L14" s="146" t="e">
        <f>F14/F10</f>
        <v>#REF!</v>
      </c>
    </row>
    <row r="15" spans="1:12" ht="41.25" customHeight="1">
      <c r="A15" s="318">
        <v>2</v>
      </c>
      <c r="B15" s="77" t="s">
        <v>144</v>
      </c>
      <c r="C15" s="308" t="e">
        <f>#REF!</f>
        <v>#REF!</v>
      </c>
      <c r="D15" s="309" t="e">
        <f>C15/12/D36</f>
        <v>#REF!</v>
      </c>
      <c r="E15" s="309" t="e">
        <f>D15/D32*100</f>
        <v>#REF!</v>
      </c>
      <c r="F15" s="312">
        <f>F16+F17+F18+F19</f>
        <v>3628.5080000000003</v>
      </c>
      <c r="G15" s="309">
        <f>F15/12/I10</f>
        <v>2.1624118171775866</v>
      </c>
      <c r="H15" s="309" t="e">
        <f>G15/G32*100</f>
        <v>#REF!</v>
      </c>
      <c r="I15" s="174" t="e">
        <f t="shared" si="0"/>
        <v>#REF!</v>
      </c>
    </row>
    <row r="16" spans="1:12" ht="15.75">
      <c r="A16" s="319"/>
      <c r="B16" s="75" t="s">
        <v>141</v>
      </c>
      <c r="C16" s="176" t="e">
        <f>C15*L16</f>
        <v>#REF!</v>
      </c>
      <c r="D16" s="83"/>
      <c r="E16" s="83"/>
      <c r="F16" s="164">
        <v>2162.92</v>
      </c>
      <c r="G16" s="83"/>
      <c r="H16" s="83"/>
      <c r="I16" s="174" t="e">
        <f t="shared" si="0"/>
        <v>#REF!</v>
      </c>
      <c r="L16" s="146">
        <f>F16/F15</f>
        <v>0.59609073481441954</v>
      </c>
    </row>
    <row r="17" spans="1:12" ht="29.25" customHeight="1">
      <c r="A17" s="319"/>
      <c r="B17" s="75" t="s">
        <v>142</v>
      </c>
      <c r="C17" s="176" t="e">
        <f>C15*L17</f>
        <v>#REF!</v>
      </c>
      <c r="D17" s="83"/>
      <c r="E17" s="83"/>
      <c r="F17" s="164">
        <v>600.41999999999996</v>
      </c>
      <c r="G17" s="83"/>
      <c r="H17" s="83"/>
      <c r="I17" s="174" t="e">
        <f t="shared" si="0"/>
        <v>#REF!</v>
      </c>
      <c r="L17" s="146">
        <f>F17/F15</f>
        <v>0.16547297125981256</v>
      </c>
    </row>
    <row r="18" spans="1:12" ht="15.75">
      <c r="A18" s="319"/>
      <c r="B18" s="75" t="s">
        <v>145</v>
      </c>
      <c r="C18" s="176" t="e">
        <f>C15*L18</f>
        <v>#REF!</v>
      </c>
      <c r="D18" s="83"/>
      <c r="E18" s="83"/>
      <c r="F18" s="164">
        <f>F16*0.25</f>
        <v>540.73</v>
      </c>
      <c r="G18" s="83"/>
      <c r="H18" s="83"/>
      <c r="I18" s="174" t="e">
        <f t="shared" si="0"/>
        <v>#REF!</v>
      </c>
      <c r="L18" s="146">
        <f>F18/F15</f>
        <v>0.14902268370360489</v>
      </c>
    </row>
    <row r="19" spans="1:12" ht="15.75">
      <c r="A19" s="319"/>
      <c r="B19" s="75" t="s">
        <v>146</v>
      </c>
      <c r="C19" s="176" t="e">
        <f>C15*L19</f>
        <v>#REF!</v>
      </c>
      <c r="D19" s="83"/>
      <c r="E19" s="83"/>
      <c r="F19" s="164">
        <f>F16*0.15</f>
        <v>324.43799999999999</v>
      </c>
      <c r="G19" s="83"/>
      <c r="H19" s="83"/>
      <c r="I19" s="174" t="e">
        <f t="shared" si="0"/>
        <v>#REF!</v>
      </c>
      <c r="L19" s="146">
        <f>F19/F15</f>
        <v>8.9413610222162931E-2</v>
      </c>
    </row>
    <row r="20" spans="1:12" ht="55.5" hidden="1" customHeight="1">
      <c r="A20" s="318">
        <v>3</v>
      </c>
      <c r="B20" s="77" t="s">
        <v>147</v>
      </c>
      <c r="C20" s="82" t="e">
        <f>C21+C22+C23+C24+C25</f>
        <v>#REF!</v>
      </c>
      <c r="D20" s="166" t="e">
        <f>C20/12/J10</f>
        <v>#REF!</v>
      </c>
      <c r="E20" s="166" t="e">
        <f>D20/D32*100</f>
        <v>#REF!</v>
      </c>
      <c r="F20" s="165" t="e">
        <f>F21+F22+F23+F24+F25</f>
        <v>#REF!</v>
      </c>
      <c r="G20" s="166" t="e">
        <f>F20/12/I10</f>
        <v>#REF!</v>
      </c>
      <c r="H20" s="166" t="e">
        <f>G20/G32*100</f>
        <v>#REF!</v>
      </c>
      <c r="I20" s="174" t="e">
        <f t="shared" si="0"/>
        <v>#REF!</v>
      </c>
    </row>
    <row r="21" spans="1:12" ht="15.75" hidden="1">
      <c r="A21" s="318"/>
      <c r="B21" s="75" t="s">
        <v>141</v>
      </c>
      <c r="C21" s="87"/>
      <c r="D21" s="84"/>
      <c r="E21" s="84"/>
      <c r="F21" s="84"/>
      <c r="G21" s="84"/>
      <c r="H21" s="84"/>
      <c r="I21" s="174" t="e">
        <f t="shared" si="0"/>
        <v>#DIV/0!</v>
      </c>
    </row>
    <row r="22" spans="1:12" ht="31.5" hidden="1">
      <c r="A22" s="318"/>
      <c r="B22" s="75" t="s">
        <v>142</v>
      </c>
      <c r="C22" s="87"/>
      <c r="D22" s="84"/>
      <c r="E22" s="84"/>
      <c r="F22" s="84"/>
      <c r="G22" s="84"/>
      <c r="H22" s="84"/>
      <c r="I22" s="174" t="e">
        <f t="shared" si="0"/>
        <v>#DIV/0!</v>
      </c>
    </row>
    <row r="23" spans="1:12" ht="51.75" customHeight="1">
      <c r="A23" s="319">
        <v>3</v>
      </c>
      <c r="B23" s="79" t="s">
        <v>125</v>
      </c>
      <c r="C23" s="308" t="e">
        <f>#REF!</f>
        <v>#REF!</v>
      </c>
      <c r="D23" s="309" t="e">
        <f>C23/12/D36</f>
        <v>#REF!</v>
      </c>
      <c r="E23" s="309" t="e">
        <f>D23/D32*100</f>
        <v>#REF!</v>
      </c>
      <c r="F23" s="317" t="e">
        <f>#REF!</f>
        <v>#REF!</v>
      </c>
      <c r="G23" s="309" t="e">
        <f>F23/12/I10</f>
        <v>#REF!</v>
      </c>
      <c r="H23" s="309" t="e">
        <f>G23/G32*100</f>
        <v>#REF!</v>
      </c>
      <c r="I23" s="174" t="e">
        <f t="shared" si="0"/>
        <v>#REF!</v>
      </c>
      <c r="J23" t="e">
        <f>C23*1.07</f>
        <v>#REF!</v>
      </c>
    </row>
    <row r="24" spans="1:12" ht="29.25" customHeight="1">
      <c r="A24" s="319">
        <v>4</v>
      </c>
      <c r="B24" s="79" t="s">
        <v>326</v>
      </c>
      <c r="C24" s="82" t="e">
        <f>#REF!</f>
        <v>#REF!</v>
      </c>
      <c r="D24" s="166" t="e">
        <f>C24/12/D36</f>
        <v>#REF!</v>
      </c>
      <c r="E24" s="166" t="e">
        <f>D24/D32*100</f>
        <v>#REF!</v>
      </c>
      <c r="F24" s="166" t="e">
        <f>C24*1.07</f>
        <v>#REF!</v>
      </c>
      <c r="G24" s="166" t="e">
        <f>F24/12/I10</f>
        <v>#REF!</v>
      </c>
      <c r="H24" s="166" t="e">
        <f>G24/G32*100</f>
        <v>#REF!</v>
      </c>
      <c r="I24" s="174" t="e">
        <f t="shared" si="0"/>
        <v>#REF!</v>
      </c>
      <c r="J24">
        <v>2011</v>
      </c>
      <c r="K24">
        <v>2012</v>
      </c>
    </row>
    <row r="25" spans="1:12" ht="17.25" hidden="1" customHeight="1">
      <c r="A25" s="319"/>
      <c r="B25" s="75" t="s">
        <v>341</v>
      </c>
      <c r="C25" s="176">
        <v>0</v>
      </c>
      <c r="D25" s="83"/>
      <c r="E25" s="83"/>
      <c r="F25" s="83">
        <v>0</v>
      </c>
      <c r="G25" s="83"/>
      <c r="H25" s="83"/>
      <c r="I25" s="180" t="e">
        <f t="shared" si="0"/>
        <v>#DIV/0!</v>
      </c>
      <c r="J25">
        <f>11+3+3</f>
        <v>17</v>
      </c>
      <c r="K25">
        <f>J25*2</f>
        <v>34</v>
      </c>
    </row>
    <row r="26" spans="1:12" ht="21" customHeight="1">
      <c r="A26" s="319">
        <v>5</v>
      </c>
      <c r="B26" s="77" t="s">
        <v>327</v>
      </c>
      <c r="C26" s="165" t="e">
        <f>C27+C28+C29</f>
        <v>#REF!</v>
      </c>
      <c r="D26" s="166" t="e">
        <f>C26/12/D36</f>
        <v>#REF!</v>
      </c>
      <c r="E26" s="166" t="e">
        <f>D26/D32*100</f>
        <v>#REF!</v>
      </c>
      <c r="F26" s="165" t="e">
        <f>F27+F28+F29</f>
        <v>#REF!</v>
      </c>
      <c r="G26" s="166" t="e">
        <f>F26/12/I10</f>
        <v>#REF!</v>
      </c>
      <c r="H26" s="166" t="e">
        <f>G26/G32*100</f>
        <v>#REF!</v>
      </c>
      <c r="I26" s="174" t="e">
        <f t="shared" si="0"/>
        <v>#REF!</v>
      </c>
      <c r="J26">
        <f>J25*2*12</f>
        <v>408</v>
      </c>
      <c r="K26">
        <f>K25*2*12*1.15</f>
        <v>938.4</v>
      </c>
    </row>
    <row r="27" spans="1:12" ht="17.25" customHeight="1">
      <c r="A27" s="78"/>
      <c r="B27" s="75" t="s">
        <v>151</v>
      </c>
      <c r="C27" s="177" t="e">
        <f>#REF!</f>
        <v>#REF!</v>
      </c>
      <c r="D27" s="164" t="e">
        <f>C27/12/D36</f>
        <v>#REF!</v>
      </c>
      <c r="E27" s="83"/>
      <c r="F27" s="164" t="e">
        <f>#REF!/1000</f>
        <v>#REF!</v>
      </c>
      <c r="G27" s="164" t="e">
        <f>F27/12/I10</f>
        <v>#REF!</v>
      </c>
      <c r="H27" s="83"/>
      <c r="I27" s="174" t="e">
        <f t="shared" si="0"/>
        <v>#REF!</v>
      </c>
    </row>
    <row r="28" spans="1:12" ht="14.25" customHeight="1">
      <c r="A28" s="78"/>
      <c r="B28" s="76" t="s">
        <v>152</v>
      </c>
      <c r="C28" s="175" t="e">
        <f>#REF!</f>
        <v>#REF!</v>
      </c>
      <c r="D28" s="164" t="e">
        <f>C28/12/D36</f>
        <v>#REF!</v>
      </c>
      <c r="E28" s="83"/>
      <c r="F28" s="164" t="e">
        <f>F27*0.15-67</f>
        <v>#REF!</v>
      </c>
      <c r="G28" s="164" t="e">
        <f>F28/12/I10</f>
        <v>#REF!</v>
      </c>
      <c r="H28" s="83"/>
      <c r="I28" s="179" t="e">
        <f t="shared" si="0"/>
        <v>#REF!</v>
      </c>
    </row>
    <row r="29" spans="1:12" ht="15.75">
      <c r="A29" s="78"/>
      <c r="B29" s="75" t="s">
        <v>153</v>
      </c>
      <c r="C29" s="87"/>
      <c r="D29" s="83"/>
      <c r="E29" s="83"/>
      <c r="F29" s="84"/>
      <c r="G29" s="84"/>
      <c r="H29" s="84"/>
      <c r="I29" s="174" t="e">
        <f t="shared" si="0"/>
        <v>#DIV/0!</v>
      </c>
    </row>
    <row r="30" spans="1:12" ht="28.5">
      <c r="A30" s="319">
        <v>6</v>
      </c>
      <c r="B30" s="320" t="s">
        <v>154</v>
      </c>
      <c r="C30" s="82"/>
      <c r="D30" s="83"/>
      <c r="E30" s="83"/>
      <c r="F30" s="84"/>
      <c r="G30" s="84"/>
      <c r="H30" s="84"/>
      <c r="I30" s="174" t="e">
        <f t="shared" si="0"/>
        <v>#DIV/0!</v>
      </c>
    </row>
    <row r="31" spans="1:12" ht="28.5">
      <c r="A31" s="319">
        <v>7</v>
      </c>
      <c r="B31" s="77" t="s">
        <v>325</v>
      </c>
      <c r="C31" s="308" t="e">
        <f>#REF!</f>
        <v>#REF!</v>
      </c>
      <c r="D31" s="309" t="e">
        <f>C31/12/D36</f>
        <v>#REF!</v>
      </c>
      <c r="E31" s="309" t="e">
        <f>D31/D32*100</f>
        <v>#REF!</v>
      </c>
      <c r="F31" s="310">
        <v>3708</v>
      </c>
      <c r="G31" s="309">
        <f>F31/12/I10</f>
        <v>2.2097851287897092</v>
      </c>
      <c r="H31" s="311">
        <v>19.399999999999999</v>
      </c>
      <c r="I31" s="174" t="e">
        <f t="shared" si="0"/>
        <v>#REF!</v>
      </c>
    </row>
    <row r="32" spans="1:12" ht="31.5">
      <c r="A32" s="319">
        <v>8</v>
      </c>
      <c r="B32" s="79" t="s">
        <v>156</v>
      </c>
      <c r="C32" s="312" t="e">
        <f>C10+C15+C20+C26+C30+C31</f>
        <v>#REF!</v>
      </c>
      <c r="D32" s="309" t="e">
        <f>C32/12/D36</f>
        <v>#REF!</v>
      </c>
      <c r="E32" s="311">
        <v>100</v>
      </c>
      <c r="F32" s="308" t="e">
        <f>F10+F15+F20+F26+F30+F31</f>
        <v>#REF!</v>
      </c>
      <c r="G32" s="309" t="e">
        <f>F32/12/I10</f>
        <v>#REF!</v>
      </c>
      <c r="H32" s="311">
        <v>100</v>
      </c>
      <c r="I32" s="174" t="e">
        <f t="shared" si="0"/>
        <v>#REF!</v>
      </c>
    </row>
    <row r="33" spans="1:8" ht="1.5" customHeight="1">
      <c r="A33" s="81" t="s">
        <v>106</v>
      </c>
      <c r="B33" s="80"/>
      <c r="C33" s="313"/>
      <c r="D33" s="314"/>
      <c r="E33" s="314"/>
      <c r="F33" s="314"/>
      <c r="G33" s="314"/>
      <c r="H33" s="314"/>
    </row>
    <row r="34" spans="1:8" ht="44.25" customHeight="1">
      <c r="A34" s="78"/>
      <c r="B34" s="79" t="s">
        <v>157</v>
      </c>
      <c r="C34" s="308"/>
      <c r="D34" s="309" t="e">
        <f>D32</f>
        <v>#REF!</v>
      </c>
      <c r="E34" s="311"/>
      <c r="F34" s="311"/>
      <c r="G34" s="309" t="e">
        <f>G32</f>
        <v>#REF!</v>
      </c>
      <c r="H34" s="311"/>
    </row>
    <row r="35" spans="1:8" ht="0.75" customHeight="1">
      <c r="A35" s="78"/>
      <c r="B35" s="79"/>
      <c r="C35" s="308"/>
      <c r="D35" s="311"/>
      <c r="E35" s="311"/>
      <c r="F35" s="311"/>
      <c r="G35" s="311"/>
      <c r="H35" s="311"/>
    </row>
    <row r="36" spans="1:8" ht="31.5" customHeight="1">
      <c r="A36" s="78"/>
      <c r="B36" s="76" t="s">
        <v>158</v>
      </c>
      <c r="C36" s="315"/>
      <c r="D36" s="316" t="e">
        <f>#REF!/1000</f>
        <v>#REF!</v>
      </c>
      <c r="E36" s="316"/>
      <c r="F36" s="208"/>
      <c r="G36" s="321">
        <f>I10</f>
        <v>139.83260000000004</v>
      </c>
      <c r="H36" s="311"/>
    </row>
    <row r="37" spans="1:8" ht="45" customHeight="1">
      <c r="A37" s="78"/>
      <c r="B37" s="92" t="s">
        <v>159</v>
      </c>
      <c r="C37" s="576" t="s">
        <v>160</v>
      </c>
      <c r="D37" s="577"/>
      <c r="E37" s="578"/>
      <c r="F37" s="84"/>
      <c r="G37" s="84"/>
      <c r="H37" s="84"/>
    </row>
    <row r="38" spans="1:8" ht="7.5" customHeight="1">
      <c r="A38" s="86"/>
    </row>
    <row r="39" spans="1:8">
      <c r="A39" s="486" t="s">
        <v>175</v>
      </c>
      <c r="B39" s="486"/>
      <c r="C39" s="486"/>
      <c r="D39" s="486"/>
      <c r="E39" s="486"/>
      <c r="F39" s="486"/>
      <c r="G39" s="486"/>
      <c r="H39" s="486"/>
    </row>
    <row r="40" spans="1:8" ht="2.25" customHeight="1"/>
    <row r="41" spans="1:8" hidden="1"/>
    <row r="48" spans="1:8">
      <c r="D48" s="214" t="e">
        <f>D10+D15+D23+D24+D26+D31</f>
        <v>#REF!</v>
      </c>
      <c r="G48" s="214" t="e">
        <f>G10+G15+G23+G24+G26+G31</f>
        <v>#REF!</v>
      </c>
    </row>
  </sheetData>
  <mergeCells count="11">
    <mergeCell ref="B9:H9"/>
    <mergeCell ref="C37:E37"/>
    <mergeCell ref="A39:H39"/>
    <mergeCell ref="A1:H1"/>
    <mergeCell ref="A2:H2"/>
    <mergeCell ref="A3:H3"/>
    <mergeCell ref="B5:B7"/>
    <mergeCell ref="C5:E5"/>
    <mergeCell ref="F5:H5"/>
    <mergeCell ref="C6:E6"/>
    <mergeCell ref="F6:H6"/>
  </mergeCells>
  <phoneticPr fontId="2" type="noConversion"/>
  <pageMargins left="0.78740157480314965" right="0.78740157480314965" top="0.39370078740157483" bottom="0.19685039370078741" header="0.51181102362204722" footer="0.51181102362204722"/>
  <pageSetup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/>
  <dimension ref="A1:L41"/>
  <sheetViews>
    <sheetView topLeftCell="A23" workbookViewId="0">
      <selection activeCell="A17" sqref="A1:IV65536"/>
    </sheetView>
  </sheetViews>
  <sheetFormatPr defaultRowHeight="12.75"/>
  <cols>
    <col min="1" max="1" width="5" style="73" customWidth="1"/>
    <col min="2" max="2" width="33.140625" customWidth="1"/>
    <col min="3" max="3" width="10.5703125" customWidth="1"/>
    <col min="4" max="4" width="9.28515625" customWidth="1"/>
    <col min="5" max="5" width="8.85546875" customWidth="1"/>
    <col min="6" max="6" width="9.85546875" customWidth="1"/>
    <col min="7" max="7" width="10.5703125" customWidth="1"/>
    <col min="9" max="9" width="9.85546875" customWidth="1"/>
  </cols>
  <sheetData>
    <row r="1" spans="1:12" ht="18.75">
      <c r="A1" s="579" t="s">
        <v>114</v>
      </c>
      <c r="B1" s="579"/>
      <c r="C1" s="579"/>
      <c r="D1" s="579"/>
      <c r="E1" s="579"/>
      <c r="F1" s="579"/>
      <c r="G1" s="579"/>
      <c r="H1" s="579"/>
    </row>
    <row r="2" spans="1:12" ht="15.75">
      <c r="A2" s="473" t="s">
        <v>133</v>
      </c>
      <c r="B2" s="473"/>
      <c r="C2" s="473"/>
      <c r="D2" s="473"/>
      <c r="E2" s="473"/>
      <c r="F2" s="473"/>
      <c r="G2" s="473"/>
      <c r="H2" s="473"/>
    </row>
    <row r="3" spans="1:12" ht="15.75">
      <c r="A3" s="473" t="s">
        <v>121</v>
      </c>
      <c r="B3" s="473"/>
      <c r="C3" s="473"/>
      <c r="D3" s="473"/>
      <c r="E3" s="473"/>
      <c r="F3" s="473"/>
      <c r="G3" s="473"/>
      <c r="H3" s="473"/>
    </row>
    <row r="4" spans="1:12" ht="6" customHeight="1"/>
    <row r="5" spans="1:12">
      <c r="A5" s="168" t="s">
        <v>107</v>
      </c>
      <c r="B5" s="580" t="s">
        <v>393</v>
      </c>
      <c r="C5" s="583" t="s">
        <v>134</v>
      </c>
      <c r="D5" s="583"/>
      <c r="E5" s="583"/>
      <c r="F5" s="583" t="s">
        <v>135</v>
      </c>
      <c r="G5" s="583"/>
      <c r="H5" s="583"/>
    </row>
    <row r="6" spans="1:12">
      <c r="A6" s="169" t="s">
        <v>108</v>
      </c>
      <c r="B6" s="581"/>
      <c r="C6" s="583" t="s">
        <v>136</v>
      </c>
      <c r="D6" s="583"/>
      <c r="E6" s="583"/>
      <c r="F6" s="583" t="s">
        <v>124</v>
      </c>
      <c r="G6" s="583"/>
      <c r="H6" s="583"/>
      <c r="L6" t="s">
        <v>394</v>
      </c>
    </row>
    <row r="7" spans="1:12" ht="51">
      <c r="A7" s="170"/>
      <c r="B7" s="582"/>
      <c r="C7" s="171" t="s">
        <v>137</v>
      </c>
      <c r="D7" s="171" t="s">
        <v>138</v>
      </c>
      <c r="E7" s="171" t="s">
        <v>139</v>
      </c>
      <c r="F7" s="171" t="s">
        <v>137</v>
      </c>
      <c r="G7" s="171" t="s">
        <v>138</v>
      </c>
      <c r="H7" s="171" t="s">
        <v>139</v>
      </c>
      <c r="I7">
        <v>2012</v>
      </c>
      <c r="J7">
        <v>2011</v>
      </c>
    </row>
    <row r="8" spans="1:12" ht="15.75">
      <c r="A8" s="74">
        <v>1</v>
      </c>
      <c r="B8" s="82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J8" t="s">
        <v>122</v>
      </c>
    </row>
    <row r="9" spans="1:12" ht="14.25" customHeight="1">
      <c r="A9" s="78"/>
      <c r="B9" s="572" t="s">
        <v>110</v>
      </c>
      <c r="C9" s="573"/>
      <c r="D9" s="574"/>
      <c r="E9" s="574"/>
      <c r="F9" s="574"/>
      <c r="G9" s="574"/>
      <c r="H9" s="575"/>
    </row>
    <row r="10" spans="1:12" ht="27" customHeight="1">
      <c r="A10" s="85">
        <v>1</v>
      </c>
      <c r="B10" s="77" t="s">
        <v>140</v>
      </c>
      <c r="C10" s="82" t="e">
        <f>#REF!</f>
        <v>#REF!</v>
      </c>
      <c r="D10" s="166" t="e">
        <f>C10/12/J10</f>
        <v>#REF!</v>
      </c>
      <c r="E10" s="166" t="e">
        <f>D10/D32*100</f>
        <v>#REF!</v>
      </c>
      <c r="F10" s="165" t="e">
        <f>F11+F12+F13+F14</f>
        <v>#REF!</v>
      </c>
      <c r="G10" s="166" t="e">
        <f>F10/12/I10</f>
        <v>#REF!</v>
      </c>
      <c r="H10" s="166" t="e">
        <f>G10/G32*100</f>
        <v>#REF!</v>
      </c>
      <c r="I10">
        <f>(137268.1+312.7+1284.6+967.2)/1000</f>
        <v>139.83260000000004</v>
      </c>
      <c r="J10" s="163">
        <v>136.6</v>
      </c>
    </row>
    <row r="11" spans="1:12" ht="14.25" customHeight="1">
      <c r="A11" s="78"/>
      <c r="B11" s="75" t="s">
        <v>141</v>
      </c>
      <c r="C11" s="176" t="e">
        <f>C10*L11</f>
        <v>#REF!</v>
      </c>
      <c r="D11" s="83"/>
      <c r="E11" s="83"/>
      <c r="F11" s="164" t="e">
        <f>#REF!/1000</f>
        <v>#REF!</v>
      </c>
      <c r="G11" s="83"/>
      <c r="H11" s="83"/>
      <c r="L11" s="146" t="e">
        <f>F11/F10</f>
        <v>#REF!</v>
      </c>
    </row>
    <row r="12" spans="1:12" ht="27" customHeight="1">
      <c r="A12" s="78"/>
      <c r="B12" s="75" t="s">
        <v>142</v>
      </c>
      <c r="C12" s="176" t="e">
        <f>C10*L12</f>
        <v>#REF!</v>
      </c>
      <c r="D12" s="83"/>
      <c r="E12" s="83"/>
      <c r="F12" s="164" t="e">
        <f>#REF!/1000</f>
        <v>#REF!</v>
      </c>
      <c r="G12" s="83"/>
      <c r="H12" s="83"/>
      <c r="I12" s="174" t="e">
        <f t="shared" ref="I12:I26" si="0">F12/C12*100</f>
        <v>#REF!</v>
      </c>
      <c r="L12" s="146" t="e">
        <f>F12/F10</f>
        <v>#REF!</v>
      </c>
    </row>
    <row r="13" spans="1:12" ht="13.5" customHeight="1">
      <c r="A13" s="78"/>
      <c r="B13" s="75" t="s">
        <v>398</v>
      </c>
      <c r="C13" s="176" t="e">
        <f>C10*L13</f>
        <v>#REF!</v>
      </c>
      <c r="D13" s="89"/>
      <c r="E13" s="89"/>
      <c r="F13" s="164" t="e">
        <f>#REF!/1000</f>
        <v>#REF!</v>
      </c>
      <c r="G13" s="89"/>
      <c r="H13" s="89"/>
      <c r="I13" s="174" t="e">
        <f t="shared" si="0"/>
        <v>#REF!</v>
      </c>
      <c r="L13" s="146" t="e">
        <f>F13/F10</f>
        <v>#REF!</v>
      </c>
    </row>
    <row r="14" spans="1:12" ht="28.5" customHeight="1">
      <c r="A14" s="78"/>
      <c r="B14" s="75" t="s">
        <v>143</v>
      </c>
      <c r="C14" s="176" t="e">
        <f>C10*L14</f>
        <v>#REF!</v>
      </c>
      <c r="D14" s="83"/>
      <c r="E14" s="83"/>
      <c r="F14" s="164" t="e">
        <f>F11*0.15</f>
        <v>#REF!</v>
      </c>
      <c r="G14" s="83"/>
      <c r="H14" s="83"/>
      <c r="I14" s="174" t="e">
        <f t="shared" si="0"/>
        <v>#REF!</v>
      </c>
      <c r="L14" s="146" t="e">
        <f>F14/F10</f>
        <v>#REF!</v>
      </c>
    </row>
    <row r="15" spans="1:12" ht="41.25" customHeight="1">
      <c r="A15" s="85">
        <v>2</v>
      </c>
      <c r="B15" s="77" t="s">
        <v>144</v>
      </c>
      <c r="C15" s="82" t="e">
        <f>#REF!</f>
        <v>#REF!</v>
      </c>
      <c r="D15" s="166" t="e">
        <f>C15/12/J10</f>
        <v>#REF!</v>
      </c>
      <c r="E15" s="166" t="e">
        <f>D15/D32*100</f>
        <v>#REF!</v>
      </c>
      <c r="F15" s="165" t="e">
        <f>F16+F17+F18+F19</f>
        <v>#REF!</v>
      </c>
      <c r="G15" s="166" t="e">
        <f>F15/12/I10</f>
        <v>#REF!</v>
      </c>
      <c r="H15" s="166" t="e">
        <f>G15/G32*100</f>
        <v>#REF!</v>
      </c>
      <c r="I15" s="174" t="e">
        <f t="shared" si="0"/>
        <v>#REF!</v>
      </c>
    </row>
    <row r="16" spans="1:12" ht="15.75">
      <c r="A16" s="78"/>
      <c r="B16" s="75" t="s">
        <v>141</v>
      </c>
      <c r="C16" s="176" t="e">
        <f>C15*L16</f>
        <v>#REF!</v>
      </c>
      <c r="D16" s="83"/>
      <c r="E16" s="83"/>
      <c r="F16" s="164" t="e">
        <f>#REF!/1000</f>
        <v>#REF!</v>
      </c>
      <c r="G16" s="83"/>
      <c r="H16" s="83"/>
      <c r="I16" s="174" t="e">
        <f t="shared" si="0"/>
        <v>#REF!</v>
      </c>
      <c r="L16" s="146" t="e">
        <f>F16/F15</f>
        <v>#REF!</v>
      </c>
    </row>
    <row r="17" spans="1:12" ht="29.25" customHeight="1">
      <c r="A17" s="78"/>
      <c r="B17" s="75" t="s">
        <v>142</v>
      </c>
      <c r="C17" s="176" t="e">
        <f>C15*L17</f>
        <v>#REF!</v>
      </c>
      <c r="D17" s="83"/>
      <c r="E17" s="83"/>
      <c r="F17" s="164" t="e">
        <f>#REF!/1000</f>
        <v>#REF!</v>
      </c>
      <c r="G17" s="83"/>
      <c r="H17" s="83"/>
      <c r="I17" s="174" t="e">
        <f t="shared" si="0"/>
        <v>#REF!</v>
      </c>
      <c r="L17" s="146" t="e">
        <f>F17/F15</f>
        <v>#REF!</v>
      </c>
    </row>
    <row r="18" spans="1:12" ht="15.75">
      <c r="A18" s="78"/>
      <c r="B18" s="75" t="s">
        <v>145</v>
      </c>
      <c r="C18" s="176" t="e">
        <f>C15*L18</f>
        <v>#REF!</v>
      </c>
      <c r="D18" s="83"/>
      <c r="E18" s="83"/>
      <c r="F18" s="164" t="e">
        <f>F16*0.25</f>
        <v>#REF!</v>
      </c>
      <c r="G18" s="83"/>
      <c r="H18" s="83"/>
      <c r="I18" s="174" t="e">
        <f t="shared" si="0"/>
        <v>#REF!</v>
      </c>
      <c r="L18" s="146" t="e">
        <f>F18/F15</f>
        <v>#REF!</v>
      </c>
    </row>
    <row r="19" spans="1:12" ht="15.75">
      <c r="A19" s="78"/>
      <c r="B19" s="75" t="s">
        <v>146</v>
      </c>
      <c r="C19" s="176" t="e">
        <f>C15*L19</f>
        <v>#REF!</v>
      </c>
      <c r="D19" s="83"/>
      <c r="E19" s="83"/>
      <c r="F19" s="164" t="e">
        <f>F16*0.15+11.88</f>
        <v>#REF!</v>
      </c>
      <c r="G19" s="83"/>
      <c r="H19" s="83"/>
      <c r="I19" s="174" t="e">
        <f t="shared" si="0"/>
        <v>#REF!</v>
      </c>
      <c r="L19" s="146" t="e">
        <f>F19/F15</f>
        <v>#REF!</v>
      </c>
    </row>
    <row r="20" spans="1:12" ht="55.5" customHeight="1">
      <c r="A20" s="85">
        <v>3</v>
      </c>
      <c r="B20" s="77" t="s">
        <v>147</v>
      </c>
      <c r="C20" s="82" t="e">
        <f>C21+C22+C23+C24+C25</f>
        <v>#REF!</v>
      </c>
      <c r="D20" s="166" t="e">
        <f>C20/12/J10</f>
        <v>#REF!</v>
      </c>
      <c r="E20" s="166" t="e">
        <f>D20/D32*100</f>
        <v>#REF!</v>
      </c>
      <c r="F20" s="165" t="e">
        <f>F21+F22+F23+F24+F25</f>
        <v>#REF!</v>
      </c>
      <c r="G20" s="166" t="e">
        <f>F20/12/I10</f>
        <v>#REF!</v>
      </c>
      <c r="H20" s="166" t="e">
        <f>G20/G32*100</f>
        <v>#REF!</v>
      </c>
      <c r="I20" s="174" t="e">
        <f t="shared" si="0"/>
        <v>#REF!</v>
      </c>
    </row>
    <row r="21" spans="1:12" ht="15.75" hidden="1">
      <c r="A21" s="85"/>
      <c r="B21" s="75" t="s">
        <v>141</v>
      </c>
      <c r="C21" s="87"/>
      <c r="D21" s="84"/>
      <c r="E21" s="84"/>
      <c r="F21" s="84"/>
      <c r="G21" s="84"/>
      <c r="H21" s="84"/>
      <c r="I21" s="174" t="e">
        <f t="shared" si="0"/>
        <v>#DIV/0!</v>
      </c>
    </row>
    <row r="22" spans="1:12" ht="31.5" hidden="1">
      <c r="A22" s="85"/>
      <c r="B22" s="75" t="s">
        <v>142</v>
      </c>
      <c r="C22" s="87"/>
      <c r="D22" s="84"/>
      <c r="E22" s="84"/>
      <c r="F22" s="84"/>
      <c r="G22" s="84"/>
      <c r="H22" s="84"/>
      <c r="I22" s="174" t="e">
        <f t="shared" si="0"/>
        <v>#DIV/0!</v>
      </c>
    </row>
    <row r="23" spans="1:12" ht="22.5" customHeight="1">
      <c r="A23" s="78"/>
      <c r="B23" s="75" t="s">
        <v>148</v>
      </c>
      <c r="C23" s="87" t="e">
        <f>#REF!</f>
        <v>#REF!</v>
      </c>
      <c r="D23" s="83"/>
      <c r="E23" s="83"/>
      <c r="F23" s="178" t="e">
        <f>#REF!</f>
        <v>#REF!</v>
      </c>
      <c r="G23" s="90"/>
      <c r="H23" s="90"/>
      <c r="I23" s="174" t="e">
        <f t="shared" si="0"/>
        <v>#REF!</v>
      </c>
      <c r="J23" t="e">
        <f>C23*1.07</f>
        <v>#REF!</v>
      </c>
    </row>
    <row r="24" spans="1:12" ht="29.25" customHeight="1">
      <c r="A24" s="78"/>
      <c r="B24" s="75" t="s">
        <v>149</v>
      </c>
      <c r="C24" s="87" t="e">
        <f>#REF!</f>
        <v>#REF!</v>
      </c>
      <c r="D24" s="83"/>
      <c r="E24" s="83"/>
      <c r="F24" s="164" t="e">
        <f>C24*1.07</f>
        <v>#REF!</v>
      </c>
      <c r="G24" s="83"/>
      <c r="H24" s="83"/>
      <c r="I24" s="174" t="e">
        <f t="shared" si="0"/>
        <v>#REF!</v>
      </c>
      <c r="J24">
        <v>2011</v>
      </c>
      <c r="K24">
        <v>2012</v>
      </c>
    </row>
    <row r="25" spans="1:12" ht="30.75" customHeight="1">
      <c r="A25" s="78"/>
      <c r="B25" s="75" t="s">
        <v>126</v>
      </c>
      <c r="C25" s="176">
        <v>0</v>
      </c>
      <c r="D25" s="83"/>
      <c r="E25" s="83"/>
      <c r="F25" s="83">
        <v>0</v>
      </c>
      <c r="G25" s="83"/>
      <c r="H25" s="83"/>
      <c r="I25" s="180" t="e">
        <f t="shared" si="0"/>
        <v>#DIV/0!</v>
      </c>
      <c r="J25">
        <f>11+3+3</f>
        <v>17</v>
      </c>
      <c r="K25">
        <f>J25*2</f>
        <v>34</v>
      </c>
    </row>
    <row r="26" spans="1:12" ht="21" customHeight="1">
      <c r="A26" s="78">
        <v>4</v>
      </c>
      <c r="B26" s="77" t="s">
        <v>150</v>
      </c>
      <c r="C26" s="165" t="e">
        <f>C27+C28+C29</f>
        <v>#REF!</v>
      </c>
      <c r="D26" s="166" t="e">
        <f>C26/12/J10</f>
        <v>#REF!</v>
      </c>
      <c r="E26" s="166" t="e">
        <f>D26/D32*100</f>
        <v>#REF!</v>
      </c>
      <c r="F26" s="165" t="e">
        <f>F27+F28+F29</f>
        <v>#REF!</v>
      </c>
      <c r="G26" s="166" t="e">
        <f>F26/12/I10</f>
        <v>#REF!</v>
      </c>
      <c r="H26" s="166" t="e">
        <f>G26/G32*100</f>
        <v>#REF!</v>
      </c>
      <c r="I26" s="174" t="e">
        <f t="shared" si="0"/>
        <v>#REF!</v>
      </c>
      <c r="J26">
        <f>J25*2*12</f>
        <v>408</v>
      </c>
      <c r="K26">
        <f>K25*2*12*1.15</f>
        <v>938.4</v>
      </c>
    </row>
    <row r="27" spans="1:12" ht="17.25" customHeight="1">
      <c r="A27" s="78"/>
      <c r="B27" s="75" t="s">
        <v>151</v>
      </c>
      <c r="C27" s="177" t="e">
        <f>#REF!</f>
        <v>#REF!</v>
      </c>
      <c r="D27" s="164" t="e">
        <f>C27/12/J10</f>
        <v>#REF!</v>
      </c>
      <c r="E27" s="83"/>
      <c r="F27" s="164" t="e">
        <f>#REF!/1000</f>
        <v>#REF!</v>
      </c>
      <c r="G27" s="164" t="e">
        <f>F27/12/I10</f>
        <v>#REF!</v>
      </c>
      <c r="H27" s="83"/>
      <c r="I27" s="174" t="e">
        <f t="shared" ref="I27:I32" si="1">F27/C27*100</f>
        <v>#REF!</v>
      </c>
    </row>
    <row r="28" spans="1:12" ht="14.25" customHeight="1">
      <c r="A28" s="78"/>
      <c r="B28" s="76" t="s">
        <v>152</v>
      </c>
      <c r="C28" s="175" t="e">
        <f>#REF!</f>
        <v>#REF!</v>
      </c>
      <c r="D28" s="164" t="e">
        <f>C28/12/J10</f>
        <v>#REF!</v>
      </c>
      <c r="E28" s="83"/>
      <c r="F28" s="164" t="e">
        <f>F27*0.15-67</f>
        <v>#REF!</v>
      </c>
      <c r="G28" s="164" t="e">
        <f>F28/12/I10</f>
        <v>#REF!</v>
      </c>
      <c r="H28" s="83"/>
      <c r="I28" s="179" t="e">
        <f t="shared" si="1"/>
        <v>#REF!</v>
      </c>
    </row>
    <row r="29" spans="1:12" ht="15.75">
      <c r="A29" s="78"/>
      <c r="B29" s="75" t="s">
        <v>153</v>
      </c>
      <c r="C29" s="87"/>
      <c r="D29" s="83"/>
      <c r="E29" s="83"/>
      <c r="F29" s="84"/>
      <c r="G29" s="84"/>
      <c r="H29" s="84"/>
      <c r="I29" s="174" t="e">
        <f t="shared" si="1"/>
        <v>#DIV/0!</v>
      </c>
    </row>
    <row r="30" spans="1:12" ht="29.25">
      <c r="A30" s="78">
        <v>5</v>
      </c>
      <c r="B30" s="77" t="s">
        <v>154</v>
      </c>
      <c r="C30" s="82"/>
      <c r="D30" s="83"/>
      <c r="E30" s="83"/>
      <c r="F30" s="84"/>
      <c r="G30" s="84"/>
      <c r="H30" s="84"/>
      <c r="I30" s="174" t="e">
        <f t="shared" si="1"/>
        <v>#DIV/0!</v>
      </c>
    </row>
    <row r="31" spans="1:12" ht="15.75">
      <c r="A31" s="78">
        <v>6</v>
      </c>
      <c r="B31" s="77" t="s">
        <v>155</v>
      </c>
      <c r="C31" s="82" t="e">
        <f>#REF!</f>
        <v>#REF!</v>
      </c>
      <c r="D31" s="166" t="e">
        <f>C31/12/J10</f>
        <v>#REF!</v>
      </c>
      <c r="E31" s="166" t="e">
        <f>D31/D32*100</f>
        <v>#REF!</v>
      </c>
      <c r="F31" s="183">
        <v>3708</v>
      </c>
      <c r="G31" s="166">
        <f>F31/12/I10</f>
        <v>2.2097851287897092</v>
      </c>
      <c r="H31" s="84">
        <v>19.399999999999999</v>
      </c>
      <c r="I31" s="174" t="e">
        <f t="shared" si="1"/>
        <v>#REF!</v>
      </c>
    </row>
    <row r="32" spans="1:12" ht="31.5">
      <c r="A32" s="78">
        <v>7</v>
      </c>
      <c r="B32" s="79" t="s">
        <v>156</v>
      </c>
      <c r="C32" s="165" t="e">
        <f>C10+C15+C20+C26+C30+C31</f>
        <v>#REF!</v>
      </c>
      <c r="D32" s="166" t="e">
        <f>C32/12/D36</f>
        <v>#REF!</v>
      </c>
      <c r="E32" s="84">
        <v>100</v>
      </c>
      <c r="F32" s="82" t="e">
        <f>F10+F15+F20+F26+F30+F31</f>
        <v>#REF!</v>
      </c>
      <c r="G32" s="166" t="e">
        <f>F32/12/I10</f>
        <v>#REF!</v>
      </c>
      <c r="H32" s="84">
        <v>100</v>
      </c>
      <c r="I32" s="174" t="e">
        <f t="shared" si="1"/>
        <v>#REF!</v>
      </c>
    </row>
    <row r="33" spans="1:8" ht="1.5" customHeight="1">
      <c r="A33" s="81" t="s">
        <v>106</v>
      </c>
      <c r="B33" s="80"/>
      <c r="C33" s="88"/>
      <c r="D33" s="91"/>
      <c r="E33" s="91"/>
      <c r="F33" s="91"/>
      <c r="G33" s="91"/>
      <c r="H33" s="91"/>
    </row>
    <row r="34" spans="1:8" ht="44.25" customHeight="1">
      <c r="A34" s="78"/>
      <c r="B34" s="79" t="s">
        <v>157</v>
      </c>
      <c r="C34" s="82"/>
      <c r="D34" s="166" t="e">
        <f>D32</f>
        <v>#REF!</v>
      </c>
      <c r="E34" s="84"/>
      <c r="F34" s="84"/>
      <c r="G34" s="166" t="e">
        <f>G32</f>
        <v>#REF!</v>
      </c>
      <c r="H34" s="84"/>
    </row>
    <row r="35" spans="1:8" ht="0.75" customHeight="1">
      <c r="A35" s="78"/>
      <c r="B35" s="79"/>
      <c r="C35" s="82"/>
      <c r="D35" s="84"/>
      <c r="E35" s="84"/>
      <c r="F35" s="84"/>
      <c r="G35" s="84"/>
      <c r="H35" s="84"/>
    </row>
    <row r="36" spans="1:8" ht="31.5" customHeight="1">
      <c r="A36" s="78"/>
      <c r="B36" s="76" t="s">
        <v>158</v>
      </c>
      <c r="C36" s="93"/>
      <c r="D36" s="94" t="e">
        <f>#REF!/1000</f>
        <v>#REF!</v>
      </c>
      <c r="E36" s="94"/>
      <c r="G36" s="167">
        <f>I10</f>
        <v>139.83260000000004</v>
      </c>
      <c r="H36" s="84"/>
    </row>
    <row r="37" spans="1:8" ht="45" customHeight="1">
      <c r="A37" s="78"/>
      <c r="B37" s="92" t="s">
        <v>159</v>
      </c>
      <c r="C37" s="576" t="s">
        <v>160</v>
      </c>
      <c r="D37" s="577"/>
      <c r="E37" s="578"/>
      <c r="F37" s="84"/>
      <c r="G37" s="84"/>
      <c r="H37" s="84"/>
    </row>
    <row r="38" spans="1:8" ht="7.5" customHeight="1">
      <c r="A38" s="86"/>
    </row>
    <row r="39" spans="1:8">
      <c r="A39" s="486" t="s">
        <v>175</v>
      </c>
      <c r="B39" s="486"/>
      <c r="C39" s="486"/>
      <c r="D39" s="486"/>
      <c r="E39" s="486"/>
      <c r="F39" s="486"/>
      <c r="G39" s="486"/>
      <c r="H39" s="486"/>
    </row>
    <row r="40" spans="1:8" ht="2.25" customHeight="1"/>
    <row r="41" spans="1:8" hidden="1"/>
  </sheetData>
  <mergeCells count="11">
    <mergeCell ref="A39:H39"/>
    <mergeCell ref="B9:H9"/>
    <mergeCell ref="C37:E37"/>
    <mergeCell ref="A2:H2"/>
    <mergeCell ref="A3:H3"/>
    <mergeCell ref="A1:H1"/>
    <mergeCell ref="B5:B7"/>
    <mergeCell ref="C5:E5"/>
    <mergeCell ref="F5:H5"/>
    <mergeCell ref="C6:E6"/>
    <mergeCell ref="F6:H6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>
      <selection activeCell="K2" sqref="K2"/>
    </sheetView>
  </sheetViews>
  <sheetFormatPr defaultRowHeight="12.75"/>
  <cols>
    <col min="1" max="1" width="24.42578125" customWidth="1"/>
    <col min="2" max="2" width="22.7109375" customWidth="1"/>
    <col min="3" max="3" width="16.85546875" customWidth="1"/>
    <col min="4" max="4" width="12.7109375" customWidth="1"/>
    <col min="5" max="5" width="13.5703125" customWidth="1"/>
    <col min="6" max="6" width="14.5703125" customWidth="1"/>
    <col min="7" max="7" width="8.85546875" style="65" hidden="1" customWidth="1"/>
    <col min="8" max="10" width="8.85546875" hidden="1" customWidth="1"/>
    <col min="11" max="14" width="8.85546875" customWidth="1"/>
  </cols>
  <sheetData>
    <row r="1" spans="1:11" ht="15.75">
      <c r="A1" s="473" t="s">
        <v>434</v>
      </c>
      <c r="B1" s="473"/>
      <c r="C1" s="473"/>
      <c r="D1" s="473"/>
      <c r="E1" s="473"/>
      <c r="F1" s="473"/>
    </row>
    <row r="2" spans="1:11" ht="15.75">
      <c r="A2" s="473" t="s">
        <v>435</v>
      </c>
      <c r="B2" s="473"/>
      <c r="C2" s="473"/>
      <c r="D2" s="473"/>
      <c r="E2" s="473"/>
      <c r="F2" s="473"/>
    </row>
    <row r="3" spans="1:11" ht="15.75">
      <c r="A3" s="436" t="s">
        <v>366</v>
      </c>
      <c r="B3" s="436"/>
      <c r="C3" s="436"/>
      <c r="D3" s="436"/>
      <c r="E3" s="436"/>
      <c r="F3" s="436"/>
    </row>
    <row r="4" spans="1:11" ht="15.75">
      <c r="A4" s="588" t="s">
        <v>363</v>
      </c>
      <c r="B4" s="588"/>
      <c r="C4" s="588"/>
      <c r="D4" s="588"/>
      <c r="E4" s="588"/>
      <c r="F4" s="588"/>
      <c r="G4" s="367"/>
    </row>
    <row r="5" spans="1:11" ht="30" customHeight="1">
      <c r="A5" s="584" t="s">
        <v>437</v>
      </c>
      <c r="B5" s="585" t="s">
        <v>438</v>
      </c>
      <c r="C5" s="585" t="s">
        <v>546</v>
      </c>
      <c r="D5" s="585" t="s">
        <v>547</v>
      </c>
      <c r="E5" s="585" t="s">
        <v>549</v>
      </c>
      <c r="F5" s="585" t="s">
        <v>458</v>
      </c>
      <c r="G5" s="589" t="s">
        <v>83</v>
      </c>
      <c r="K5" s="410"/>
    </row>
    <row r="6" spans="1:11" ht="28.5" customHeight="1">
      <c r="A6" s="584"/>
      <c r="B6" s="586"/>
      <c r="C6" s="586"/>
      <c r="D6" s="586"/>
      <c r="E6" s="586"/>
      <c r="F6" s="586"/>
      <c r="G6" s="589"/>
      <c r="K6" s="410"/>
    </row>
    <row r="7" spans="1:11" ht="14.25" customHeight="1">
      <c r="A7" s="584"/>
      <c r="B7" s="586"/>
      <c r="C7" s="586"/>
      <c r="D7" s="586"/>
      <c r="E7" s="586"/>
      <c r="F7" s="586"/>
      <c r="G7" s="589"/>
      <c r="K7" s="410"/>
    </row>
    <row r="8" spans="1:11" ht="15.75" customHeight="1">
      <c r="A8" s="584"/>
      <c r="B8" s="586"/>
      <c r="C8" s="586"/>
      <c r="D8" s="586"/>
      <c r="E8" s="586"/>
      <c r="F8" s="586"/>
      <c r="G8" s="589"/>
      <c r="K8" s="410"/>
    </row>
    <row r="9" spans="1:11" ht="13.5" customHeight="1">
      <c r="A9" s="584"/>
      <c r="B9" s="587"/>
      <c r="C9" s="587"/>
      <c r="D9" s="587"/>
      <c r="E9" s="587"/>
      <c r="F9" s="587"/>
      <c r="G9" s="589"/>
    </row>
    <row r="10" spans="1:11" ht="16.5" customHeight="1">
      <c r="A10" s="590" t="s">
        <v>460</v>
      </c>
      <c r="B10" s="591"/>
      <c r="C10" s="591"/>
      <c r="D10" s="591"/>
      <c r="E10" s="591"/>
      <c r="F10" s="592"/>
      <c r="K10" s="410"/>
    </row>
    <row r="11" spans="1:11" ht="52.5" customHeight="1">
      <c r="A11" s="379" t="s">
        <v>28</v>
      </c>
      <c r="B11" s="211" t="s">
        <v>462</v>
      </c>
      <c r="C11" s="206">
        <f>D11*G11*12/1000</f>
        <v>23.889081988836001</v>
      </c>
      <c r="D11" s="381">
        <f>0.0190679</f>
        <v>1.9067899999999999E-2</v>
      </c>
      <c r="E11" s="413" t="s">
        <v>545</v>
      </c>
      <c r="F11" s="417" t="s">
        <v>276</v>
      </c>
      <c r="G11" s="322">
        <v>104403.57</v>
      </c>
      <c r="J11" s="354">
        <f>C11+C13+C14</f>
        <v>162.19792015347599</v>
      </c>
    </row>
    <row r="12" spans="1:11" ht="29.25" customHeight="1">
      <c r="A12" s="593" t="s">
        <v>463</v>
      </c>
      <c r="B12" s="594"/>
      <c r="C12" s="594"/>
      <c r="D12" s="594"/>
      <c r="E12" s="594"/>
      <c r="F12" s="595"/>
      <c r="K12" s="410"/>
    </row>
    <row r="13" spans="1:11" ht="20.25" customHeight="1">
      <c r="A13" s="400" t="s">
        <v>478</v>
      </c>
      <c r="B13" s="211" t="s">
        <v>464</v>
      </c>
      <c r="C13" s="206">
        <f>D13*G13*12/1000</f>
        <v>62.867653711200006</v>
      </c>
      <c r="D13" s="381">
        <f>0.05018</f>
        <v>5.0180000000000002E-2</v>
      </c>
      <c r="E13" s="413" t="s">
        <v>545</v>
      </c>
      <c r="F13" s="417" t="s">
        <v>276</v>
      </c>
      <c r="G13" s="65">
        <f>G11</f>
        <v>104403.57</v>
      </c>
    </row>
    <row r="14" spans="1:11" ht="45">
      <c r="A14" s="401" t="s">
        <v>206</v>
      </c>
      <c r="B14" s="211" t="s">
        <v>464</v>
      </c>
      <c r="C14" s="206">
        <f>D14*G14*12/1000</f>
        <v>75.441184453440002</v>
      </c>
      <c r="D14" s="381">
        <f>0.060216</f>
        <v>6.0215999999999999E-2</v>
      </c>
      <c r="E14" s="413" t="s">
        <v>545</v>
      </c>
      <c r="F14" s="417" t="s">
        <v>276</v>
      </c>
      <c r="G14" s="65">
        <f>G13</f>
        <v>104403.57</v>
      </c>
    </row>
    <row r="15" spans="1:11" ht="14.25">
      <c r="A15" s="593" t="s">
        <v>74</v>
      </c>
      <c r="B15" s="594"/>
      <c r="C15" s="594"/>
      <c r="D15" s="594"/>
      <c r="E15" s="594"/>
      <c r="F15" s="595"/>
      <c r="K15" s="410"/>
    </row>
    <row r="16" spans="1:11" ht="30">
      <c r="A16" s="401" t="s">
        <v>205</v>
      </c>
      <c r="B16" s="420" t="s">
        <v>462</v>
      </c>
      <c r="C16" s="206">
        <f>D16*G16*12/1000</f>
        <v>21.374751693240004</v>
      </c>
      <c r="D16" s="381">
        <f>0.017061</f>
        <v>1.7061E-2</v>
      </c>
      <c r="E16" s="413" t="s">
        <v>545</v>
      </c>
      <c r="F16" s="417" t="s">
        <v>276</v>
      </c>
      <c r="G16" s="65">
        <f>G14</f>
        <v>104403.57</v>
      </c>
      <c r="J16" s="355">
        <f>C16+C17+C21+C23+C24</f>
        <v>1568.4985270322402</v>
      </c>
    </row>
    <row r="17" spans="1:11" ht="30">
      <c r="A17" s="401" t="s">
        <v>303</v>
      </c>
      <c r="B17" s="420" t="s">
        <v>453</v>
      </c>
      <c r="C17" s="206">
        <f>D17*G17*12/1000</f>
        <v>1023.78</v>
      </c>
      <c r="D17" s="381">
        <f>I17*0.755</f>
        <v>0.81716554328554092</v>
      </c>
      <c r="E17" s="413" t="s">
        <v>545</v>
      </c>
      <c r="F17" s="417" t="s">
        <v>276</v>
      </c>
      <c r="G17" s="65">
        <f>G16</f>
        <v>104403.57</v>
      </c>
      <c r="I17">
        <f>1356*1000/12/G17</f>
        <v>1.0823384679278687</v>
      </c>
    </row>
    <row r="18" spans="1:11" ht="17.25" customHeight="1">
      <c r="A18" s="596" t="s">
        <v>76</v>
      </c>
      <c r="B18" s="597"/>
      <c r="C18" s="597"/>
      <c r="D18" s="597"/>
      <c r="E18" s="597"/>
      <c r="F18" s="598"/>
      <c r="K18" s="410"/>
    </row>
    <row r="19" spans="1:11" ht="39" customHeight="1">
      <c r="A19" s="599" t="s">
        <v>467</v>
      </c>
      <c r="B19" s="425" t="s">
        <v>364</v>
      </c>
      <c r="C19" s="384">
        <f>D19*G19*12/1000-1.58</f>
        <v>311.52000000000004</v>
      </c>
      <c r="D19" s="403">
        <f>I19</f>
        <v>0.24991163297066055</v>
      </c>
      <c r="E19" s="423" t="s">
        <v>545</v>
      </c>
      <c r="F19" s="424" t="s">
        <v>276</v>
      </c>
      <c r="G19" s="65">
        <f>G16</f>
        <v>104403.57</v>
      </c>
      <c r="I19">
        <f>313.1*1000/12/G19</f>
        <v>0.24991163297066055</v>
      </c>
    </row>
    <row r="20" spans="1:11" ht="35.25" customHeight="1">
      <c r="A20" s="599"/>
      <c r="B20" s="421" t="s">
        <v>442</v>
      </c>
      <c r="C20" s="206">
        <f>D20*G20*12/1000</f>
        <v>44.4</v>
      </c>
      <c r="D20" s="381">
        <f>I20</f>
        <v>3.5439401162239946E-2</v>
      </c>
      <c r="E20" s="413" t="s">
        <v>545</v>
      </c>
      <c r="F20" s="417" t="s">
        <v>276</v>
      </c>
      <c r="G20" s="65">
        <f>G17</f>
        <v>104403.57</v>
      </c>
      <c r="I20">
        <f>44.4*1000/12/G20</f>
        <v>3.5439401162239946E-2</v>
      </c>
      <c r="J20" s="359">
        <f>C20+C19</f>
        <v>355.92</v>
      </c>
    </row>
    <row r="21" spans="1:11" ht="72" customHeight="1">
      <c r="A21" s="600"/>
      <c r="B21" s="407" t="s">
        <v>25</v>
      </c>
      <c r="C21" s="206">
        <f>D21*G21*12/1000</f>
        <v>67.966724070000012</v>
      </c>
      <c r="D21" s="381">
        <f>0.07*0.775</f>
        <v>5.4250000000000007E-2</v>
      </c>
      <c r="E21" s="413" t="s">
        <v>545</v>
      </c>
      <c r="F21" s="417" t="s">
        <v>276</v>
      </c>
      <c r="G21" s="65">
        <f>G20</f>
        <v>104403.57</v>
      </c>
    </row>
    <row r="22" spans="1:11" ht="15.75" customHeight="1">
      <c r="A22" s="593" t="s">
        <v>77</v>
      </c>
      <c r="B22" s="594"/>
      <c r="C22" s="594"/>
      <c r="D22" s="594"/>
      <c r="E22" s="594"/>
      <c r="F22" s="595"/>
      <c r="K22" s="410"/>
    </row>
    <row r="23" spans="1:11" ht="63.75">
      <c r="A23" s="400" t="s">
        <v>473</v>
      </c>
      <c r="B23" s="407" t="s">
        <v>29</v>
      </c>
      <c r="C23" s="206">
        <f>D23*G23*12/1000</f>
        <v>392.2650932040001</v>
      </c>
      <c r="D23" s="381">
        <f>0.404*0.775</f>
        <v>0.31310000000000004</v>
      </c>
      <c r="E23" s="413" t="s">
        <v>545</v>
      </c>
      <c r="F23" s="417" t="s">
        <v>276</v>
      </c>
      <c r="G23" s="65">
        <f>G21</f>
        <v>104403.57</v>
      </c>
    </row>
    <row r="24" spans="1:11" ht="30">
      <c r="A24" s="401" t="s">
        <v>475</v>
      </c>
      <c r="B24" s="407" t="s">
        <v>30</v>
      </c>
      <c r="C24" s="206">
        <f>D24*G24*12/1000</f>
        <v>63.11195806500001</v>
      </c>
      <c r="D24" s="381">
        <f>0.065*0.775</f>
        <v>5.0375000000000003E-2</v>
      </c>
      <c r="E24" s="413" t="s">
        <v>545</v>
      </c>
      <c r="F24" s="417" t="s">
        <v>276</v>
      </c>
      <c r="G24" s="65">
        <f>G23</f>
        <v>104403.57</v>
      </c>
    </row>
    <row r="25" spans="1:11" ht="30">
      <c r="A25" s="72" t="s">
        <v>64</v>
      </c>
      <c r="B25" s="203"/>
      <c r="C25" s="195">
        <f>D25*G25*12/1000+2.41</f>
        <v>3998.9786595999999</v>
      </c>
      <c r="D25" s="196">
        <v>3.19</v>
      </c>
      <c r="E25" s="418" t="s">
        <v>545</v>
      </c>
      <c r="F25" s="419" t="s">
        <v>276</v>
      </c>
      <c r="G25" s="65">
        <f>G24</f>
        <v>104403.57</v>
      </c>
    </row>
    <row r="26" spans="1:11" ht="30">
      <c r="A26" s="372" t="s">
        <v>325</v>
      </c>
      <c r="B26" s="203"/>
      <c r="C26" s="195">
        <f>D26*G26*12/1000</f>
        <v>2931.6522456000002</v>
      </c>
      <c r="D26" s="196">
        <v>2.34</v>
      </c>
      <c r="E26" s="418" t="s">
        <v>545</v>
      </c>
      <c r="F26" s="419" t="s">
        <v>276</v>
      </c>
      <c r="G26" s="65">
        <f>G25</f>
        <v>104403.57</v>
      </c>
    </row>
    <row r="27" spans="1:11" ht="14.25">
      <c r="A27" s="197" t="s">
        <v>477</v>
      </c>
      <c r="B27" s="197"/>
      <c r="C27" s="63">
        <f>C11+C13+C14+C16+C17+C19+C20+C21+C23+C24+C25+C26</f>
        <v>9017.247352385717</v>
      </c>
      <c r="D27" s="68">
        <f>D11+D13+D14+D16+D17+D19+D20+D21+D23+D24+D25+D26</f>
        <v>7.196766477418441</v>
      </c>
      <c r="E27" s="68"/>
      <c r="F27" s="187"/>
      <c r="G27" s="69">
        <f>C27/12/G24*1000</f>
        <v>7.1974289707284571</v>
      </c>
      <c r="J27" s="201">
        <f>C26+C25+J20+J16+J11</f>
        <v>9017.2473523857152</v>
      </c>
    </row>
    <row r="28" spans="1:11">
      <c r="A28" s="207"/>
      <c r="B28" s="208"/>
      <c r="C28" s="409">
        <f>C27/12</f>
        <v>751.43727936547646</v>
      </c>
      <c r="D28" s="208"/>
      <c r="E28" s="208"/>
      <c r="F28" s="208"/>
    </row>
    <row r="30" spans="1:11">
      <c r="A30" t="s">
        <v>544</v>
      </c>
    </row>
    <row r="79" ht="42" customHeight="1"/>
    <row r="83" ht="16.5" customHeight="1"/>
    <row r="155" ht="16.5" customHeight="1"/>
  </sheetData>
  <sheetProtection password="CC0F" sheet="1" objects="1" scenarios="1"/>
  <mergeCells count="17">
    <mergeCell ref="G5:G9"/>
    <mergeCell ref="A10:F10"/>
    <mergeCell ref="A22:F22"/>
    <mergeCell ref="A12:F12"/>
    <mergeCell ref="A15:F15"/>
    <mergeCell ref="A18:F18"/>
    <mergeCell ref="A19:A21"/>
    <mergeCell ref="E5:E9"/>
    <mergeCell ref="A1:F1"/>
    <mergeCell ref="A2:F2"/>
    <mergeCell ref="A3:F3"/>
    <mergeCell ref="A5:A9"/>
    <mergeCell ref="B5:B9"/>
    <mergeCell ref="F5:F9"/>
    <mergeCell ref="C5:C9"/>
    <mergeCell ref="D5:D9"/>
    <mergeCell ref="A4:F4"/>
  </mergeCells>
  <phoneticPr fontId="2" type="noConversion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3"/>
  <sheetViews>
    <sheetView workbookViewId="0">
      <selection activeCell="L2" sqref="L2"/>
    </sheetView>
  </sheetViews>
  <sheetFormatPr defaultRowHeight="12.75"/>
  <cols>
    <col min="1" max="1" width="24.42578125" customWidth="1"/>
    <col min="2" max="2" width="22.7109375" customWidth="1"/>
    <col min="3" max="3" width="16.85546875" customWidth="1"/>
    <col min="4" max="4" width="17.85546875" customWidth="1"/>
    <col min="5" max="5" width="0.42578125" hidden="1" customWidth="1"/>
    <col min="6" max="6" width="14.140625" style="65" hidden="1" customWidth="1"/>
    <col min="7" max="9" width="0" hidden="1" customWidth="1"/>
    <col min="10" max="10" width="13.42578125" customWidth="1"/>
    <col min="11" max="11" width="15.28515625" customWidth="1"/>
  </cols>
  <sheetData>
    <row r="1" spans="1:11" ht="15.75">
      <c r="A1" s="473" t="s">
        <v>434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5.75">
      <c r="A2" s="473" t="s">
        <v>26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15.75">
      <c r="A3" s="436" t="s">
        <v>308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1" ht="24" customHeight="1">
      <c r="A4" s="584" t="s">
        <v>437</v>
      </c>
      <c r="B4" s="585" t="s">
        <v>438</v>
      </c>
      <c r="C4" s="584" t="s">
        <v>546</v>
      </c>
      <c r="D4" s="584" t="s">
        <v>547</v>
      </c>
      <c r="E4" s="601" t="s">
        <v>458</v>
      </c>
      <c r="F4" s="589" t="s">
        <v>347</v>
      </c>
      <c r="J4" s="585" t="s">
        <v>549</v>
      </c>
      <c r="K4" s="585" t="s">
        <v>458</v>
      </c>
    </row>
    <row r="5" spans="1:11" ht="12.75" customHeight="1">
      <c r="A5" s="584"/>
      <c r="B5" s="586"/>
      <c r="C5" s="584"/>
      <c r="D5" s="584"/>
      <c r="E5" s="602"/>
      <c r="F5" s="589"/>
      <c r="J5" s="586"/>
      <c r="K5" s="586"/>
    </row>
    <row r="6" spans="1:11" ht="14.25" customHeight="1">
      <c r="A6" s="584"/>
      <c r="B6" s="586"/>
      <c r="C6" s="584"/>
      <c r="D6" s="584"/>
      <c r="E6" s="602"/>
      <c r="F6" s="589"/>
      <c r="J6" s="586"/>
      <c r="K6" s="586"/>
    </row>
    <row r="7" spans="1:11" ht="15.75" customHeight="1">
      <c r="A7" s="584"/>
      <c r="B7" s="586"/>
      <c r="C7" s="584"/>
      <c r="D7" s="584"/>
      <c r="E7" s="602"/>
      <c r="F7" s="589"/>
      <c r="J7" s="586"/>
      <c r="K7" s="586"/>
    </row>
    <row r="8" spans="1:11" ht="24.75" customHeight="1">
      <c r="A8" s="584"/>
      <c r="B8" s="587"/>
      <c r="C8" s="584"/>
      <c r="D8" s="584"/>
      <c r="E8" s="437"/>
      <c r="F8" s="589"/>
      <c r="J8" s="587"/>
      <c r="K8" s="587"/>
    </row>
    <row r="9" spans="1:11" ht="16.5" hidden="1" customHeight="1">
      <c r="A9" s="611" t="s">
        <v>460</v>
      </c>
      <c r="B9" s="604"/>
      <c r="C9" s="604"/>
      <c r="D9" s="604"/>
      <c r="E9" s="612"/>
      <c r="J9" s="42"/>
      <c r="K9" s="42"/>
    </row>
    <row r="10" spans="1:11" ht="33" hidden="1" customHeight="1">
      <c r="A10" s="44" t="s">
        <v>461</v>
      </c>
      <c r="B10" s="46" t="s">
        <v>462</v>
      </c>
      <c r="C10" s="64" t="e">
        <f>D10*F10*12/1000</f>
        <v>#REF!</v>
      </c>
      <c r="D10" s="62"/>
      <c r="E10" s="46"/>
      <c r="F10" s="69" t="e">
        <f>#REF!</f>
        <v>#REF!</v>
      </c>
      <c r="J10" s="42"/>
      <c r="K10" s="42"/>
    </row>
    <row r="11" spans="1:11" ht="20.25" hidden="1" customHeight="1">
      <c r="A11" s="611" t="s">
        <v>463</v>
      </c>
      <c r="B11" s="604"/>
      <c r="C11" s="604"/>
      <c r="D11" s="604"/>
      <c r="E11" s="612"/>
      <c r="J11" s="42"/>
      <c r="K11" s="42"/>
    </row>
    <row r="12" spans="1:11" ht="15" hidden="1">
      <c r="A12" s="186" t="s">
        <v>478</v>
      </c>
      <c r="B12" s="46" t="s">
        <v>464</v>
      </c>
      <c r="C12" s="64" t="e">
        <f>D12*F12*12/1000</f>
        <v>#REF!</v>
      </c>
      <c r="D12" s="62"/>
      <c r="E12" s="46"/>
      <c r="F12" s="65" t="e">
        <f>F10</f>
        <v>#REF!</v>
      </c>
      <c r="J12" s="42"/>
      <c r="K12" s="42"/>
    </row>
    <row r="13" spans="1:11" ht="15" hidden="1" customHeight="1">
      <c r="A13" s="185" t="s">
        <v>206</v>
      </c>
      <c r="B13" s="46" t="s">
        <v>464</v>
      </c>
      <c r="C13" s="64">
        <f>D13*F13*12/1000</f>
        <v>0</v>
      </c>
      <c r="D13" s="62"/>
      <c r="E13" s="46"/>
      <c r="F13" s="69">
        <v>31745.7</v>
      </c>
      <c r="J13" s="42"/>
      <c r="K13" s="42"/>
    </row>
    <row r="14" spans="1:11" ht="14.25" customHeight="1">
      <c r="A14" s="603" t="s">
        <v>74</v>
      </c>
      <c r="B14" s="604"/>
      <c r="C14" s="604"/>
      <c r="D14" s="604"/>
      <c r="E14" s="604"/>
      <c r="F14" s="604"/>
      <c r="G14" s="604"/>
      <c r="H14" s="604"/>
      <c r="I14" s="604"/>
      <c r="J14" s="604"/>
      <c r="K14" s="605"/>
    </row>
    <row r="15" spans="1:11" ht="30">
      <c r="A15" s="182" t="s">
        <v>205</v>
      </c>
      <c r="B15" s="422" t="s">
        <v>462</v>
      </c>
      <c r="C15" s="195">
        <f>D15*F15*12/1000</f>
        <v>27.493255549619992</v>
      </c>
      <c r="D15" s="196">
        <f>0.0171*1.15*3.67</f>
        <v>7.2170549999999986E-2</v>
      </c>
      <c r="E15" s="181"/>
      <c r="F15" s="65">
        <f>F13</f>
        <v>31745.7</v>
      </c>
      <c r="I15" s="201">
        <f>C15+C19+C21</f>
        <v>256.56078557844</v>
      </c>
      <c r="J15" s="418" t="s">
        <v>545</v>
      </c>
      <c r="K15" s="418" t="s">
        <v>276</v>
      </c>
    </row>
    <row r="16" spans="1:11" ht="30" hidden="1">
      <c r="A16" s="182" t="s">
        <v>452</v>
      </c>
      <c r="B16" s="204" t="s">
        <v>453</v>
      </c>
      <c r="C16" s="195">
        <f>D16*F16*12/1000</f>
        <v>0</v>
      </c>
      <c r="D16" s="196"/>
      <c r="E16" s="181"/>
      <c r="F16" s="65">
        <f>F15</f>
        <v>31745.7</v>
      </c>
      <c r="J16" s="42"/>
      <c r="K16" s="42"/>
    </row>
    <row r="17" spans="1:11" ht="16.5" customHeight="1">
      <c r="A17" s="606" t="s">
        <v>76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8"/>
    </row>
    <row r="18" spans="1:11" ht="0.75" customHeight="1">
      <c r="A18" s="609" t="s">
        <v>166</v>
      </c>
      <c r="B18" s="202" t="s">
        <v>37</v>
      </c>
      <c r="C18" s="206">
        <f>D18*F18*12/1000</f>
        <v>0</v>
      </c>
      <c r="D18" s="196"/>
      <c r="E18" s="181"/>
      <c r="F18" s="65">
        <f>F16</f>
        <v>31745.7</v>
      </c>
      <c r="J18" s="42" t="s">
        <v>545</v>
      </c>
      <c r="K18" s="42"/>
    </row>
    <row r="19" spans="1:11" ht="90.75" customHeight="1">
      <c r="A19" s="610"/>
      <c r="B19" s="205" t="s">
        <v>25</v>
      </c>
      <c r="C19" s="206">
        <f>D19*F19*12/1000</f>
        <v>0</v>
      </c>
      <c r="D19" s="196">
        <v>0</v>
      </c>
      <c r="E19" s="181"/>
      <c r="F19" s="65">
        <f>F18</f>
        <v>31745.7</v>
      </c>
      <c r="J19" s="418" t="s">
        <v>545</v>
      </c>
      <c r="K19" s="418" t="s">
        <v>276</v>
      </c>
    </row>
    <row r="20" spans="1:11" ht="15.75" customHeight="1">
      <c r="A20" s="606" t="s">
        <v>77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8"/>
    </row>
    <row r="21" spans="1:11" ht="25.5">
      <c r="A21" s="204" t="s">
        <v>473</v>
      </c>
      <c r="B21" s="205" t="s">
        <v>346</v>
      </c>
      <c r="C21" s="195">
        <f>D21*F21*12/1000</f>
        <v>229.06753002882002</v>
      </c>
      <c r="D21" s="196">
        <f>обяз!D23*1.15*1.67</f>
        <v>0.60130855000000005</v>
      </c>
      <c r="E21" s="181"/>
      <c r="F21" s="65">
        <f>F19</f>
        <v>31745.7</v>
      </c>
      <c r="J21" s="418" t="s">
        <v>545</v>
      </c>
      <c r="K21" s="418" t="s">
        <v>276</v>
      </c>
    </row>
    <row r="22" spans="1:11" ht="36" hidden="1">
      <c r="A22" s="182" t="s">
        <v>475</v>
      </c>
      <c r="B22" s="203" t="s">
        <v>476</v>
      </c>
      <c r="C22" s="195">
        <f>D22*F22*12/1000</f>
        <v>0</v>
      </c>
      <c r="D22" s="196"/>
      <c r="E22" s="181"/>
      <c r="F22" s="65">
        <f>F20</f>
        <v>0</v>
      </c>
      <c r="J22" s="418"/>
      <c r="K22" s="418"/>
    </row>
    <row r="23" spans="1:11" ht="30">
      <c r="A23" s="72" t="s">
        <v>64</v>
      </c>
      <c r="B23" s="203"/>
      <c r="C23" s="195">
        <f>D23*F23*12/1000</f>
        <v>1215.225396</v>
      </c>
      <c r="D23" s="196">
        <f>обяз!D25</f>
        <v>3.19</v>
      </c>
      <c r="E23" s="181"/>
      <c r="F23" s="65">
        <f>F21</f>
        <v>31745.7</v>
      </c>
      <c r="J23" s="418" t="s">
        <v>545</v>
      </c>
      <c r="K23" s="418" t="s">
        <v>276</v>
      </c>
    </row>
    <row r="24" spans="1:11" ht="30">
      <c r="A24" s="372" t="s">
        <v>325</v>
      </c>
      <c r="B24" s="203"/>
      <c r="C24" s="195">
        <f>D24*F24*12/1000</f>
        <v>891.4192559999999</v>
      </c>
      <c r="D24" s="196">
        <f>обяз!D26</f>
        <v>2.34</v>
      </c>
      <c r="E24" s="181"/>
      <c r="F24" s="65">
        <f>F23</f>
        <v>31745.7</v>
      </c>
      <c r="J24" s="418" t="s">
        <v>545</v>
      </c>
      <c r="K24" s="418" t="s">
        <v>276</v>
      </c>
    </row>
    <row r="25" spans="1:11" ht="14.25">
      <c r="A25" s="197" t="s">
        <v>477</v>
      </c>
      <c r="B25" s="197"/>
      <c r="C25" s="63">
        <f>C15+C19+C21+C22+C23+C24</f>
        <v>2363.2054375784401</v>
      </c>
      <c r="D25" s="63">
        <f>D15+D19+D21+D22+D23+D24</f>
        <v>6.2034791</v>
      </c>
      <c r="E25" s="187"/>
      <c r="F25" s="69">
        <f>C25/12/F23*1000</f>
        <v>6.2034791</v>
      </c>
      <c r="J25" s="42"/>
      <c r="K25" s="42"/>
    </row>
    <row r="26" spans="1:11">
      <c r="A26" s="2"/>
      <c r="C26" s="395">
        <f>C25/12</f>
        <v>196.93378646487</v>
      </c>
    </row>
    <row r="27" spans="1:11">
      <c r="A27" s="374" t="s">
        <v>541</v>
      </c>
    </row>
    <row r="77" ht="42" customHeight="1"/>
    <row r="81" ht="16.5" customHeight="1"/>
    <row r="153" ht="16.5" customHeight="1"/>
  </sheetData>
  <sheetProtection password="CC0F" sheet="1" objects="1" scenarios="1"/>
  <mergeCells count="17">
    <mergeCell ref="A14:K14"/>
    <mergeCell ref="A17:K17"/>
    <mergeCell ref="A20:K20"/>
    <mergeCell ref="A18:A19"/>
    <mergeCell ref="F4:F8"/>
    <mergeCell ref="A9:E9"/>
    <mergeCell ref="A11:E11"/>
    <mergeCell ref="A1:K1"/>
    <mergeCell ref="A2:K2"/>
    <mergeCell ref="A3:K3"/>
    <mergeCell ref="J4:J8"/>
    <mergeCell ref="K4:K8"/>
    <mergeCell ref="A4:A8"/>
    <mergeCell ref="B4:B8"/>
    <mergeCell ref="E4:E8"/>
    <mergeCell ref="C4:C8"/>
    <mergeCell ref="D4:D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2"/>
  <sheetViews>
    <sheetView workbookViewId="0">
      <selection activeCell="Q7" sqref="Q7"/>
    </sheetView>
  </sheetViews>
  <sheetFormatPr defaultRowHeight="12.75"/>
  <cols>
    <col min="1" max="1" width="33.42578125" style="352" customWidth="1"/>
    <col min="2" max="2" width="10.7109375" style="352" customWidth="1"/>
    <col min="3" max="3" width="11.85546875" style="352" customWidth="1"/>
    <col min="4" max="4" width="11.42578125" style="352" customWidth="1"/>
    <col min="5" max="6" width="11.28515625" style="352" customWidth="1"/>
    <col min="7" max="7" width="13" style="352" customWidth="1"/>
    <col min="8" max="8" width="0.140625" customWidth="1"/>
    <col min="9" max="13" width="9.140625" hidden="1" customWidth="1"/>
    <col min="14" max="16" width="0" hidden="1" customWidth="1"/>
  </cols>
  <sheetData>
    <row r="2" spans="1:12" ht="15.75" hidden="1">
      <c r="A2" s="632" t="s">
        <v>434</v>
      </c>
      <c r="B2" s="632"/>
      <c r="C2" s="632"/>
      <c r="D2" s="632"/>
      <c r="E2" s="632"/>
      <c r="F2" s="632"/>
      <c r="G2" s="632"/>
    </row>
    <row r="3" spans="1:12" ht="15.75" hidden="1">
      <c r="A3" s="632" t="s">
        <v>480</v>
      </c>
      <c r="B3" s="632"/>
      <c r="C3" s="632"/>
      <c r="D3" s="632"/>
      <c r="E3" s="632"/>
      <c r="F3" s="632"/>
      <c r="G3" s="632"/>
    </row>
    <row r="4" spans="1:12" ht="15.75" hidden="1">
      <c r="A4" s="632" t="s">
        <v>481</v>
      </c>
      <c r="B4" s="632"/>
      <c r="C4" s="632"/>
      <c r="D4" s="632"/>
      <c r="E4" s="632"/>
      <c r="F4" s="632"/>
      <c r="G4" s="632"/>
    </row>
    <row r="5" spans="1:12" ht="15.75" hidden="1">
      <c r="A5" s="632" t="s">
        <v>482</v>
      </c>
      <c r="B5" s="632"/>
      <c r="C5" s="632"/>
      <c r="D5" s="632"/>
      <c r="E5" s="632"/>
      <c r="F5" s="632"/>
      <c r="G5" s="632"/>
    </row>
    <row r="6" spans="1:12" ht="15.75" hidden="1">
      <c r="A6" s="376"/>
    </row>
    <row r="7" spans="1:12" ht="32.25" customHeight="1">
      <c r="A7" s="633" t="s">
        <v>302</v>
      </c>
      <c r="B7" s="633"/>
      <c r="C7" s="633"/>
      <c r="D7" s="633"/>
      <c r="E7" s="633"/>
      <c r="F7" s="633"/>
      <c r="G7" s="633"/>
    </row>
    <row r="8" spans="1:12" ht="14.25">
      <c r="A8" s="631"/>
      <c r="B8" s="631"/>
      <c r="C8" s="631"/>
      <c r="D8" s="631"/>
      <c r="E8" s="631"/>
      <c r="F8" s="631"/>
      <c r="G8" s="631"/>
    </row>
    <row r="9" spans="1:12" ht="28.5" customHeight="1">
      <c r="A9" s="628" t="s">
        <v>484</v>
      </c>
      <c r="B9" s="628" t="s">
        <v>542</v>
      </c>
      <c r="C9" s="628" t="s">
        <v>548</v>
      </c>
      <c r="D9" s="628" t="s">
        <v>489</v>
      </c>
      <c r="E9" s="628" t="s">
        <v>82</v>
      </c>
      <c r="F9" s="628" t="s">
        <v>549</v>
      </c>
      <c r="G9" s="628" t="s">
        <v>458</v>
      </c>
      <c r="H9" s="621"/>
    </row>
    <row r="10" spans="1:12" ht="25.5" customHeight="1">
      <c r="A10" s="629"/>
      <c r="B10" s="629"/>
      <c r="C10" s="629"/>
      <c r="D10" s="629"/>
      <c r="E10" s="629"/>
      <c r="F10" s="629"/>
      <c r="G10" s="629"/>
      <c r="H10" s="621"/>
    </row>
    <row r="11" spans="1:12" ht="38.25" customHeight="1">
      <c r="A11" s="630"/>
      <c r="B11" s="629"/>
      <c r="C11" s="630"/>
      <c r="D11" s="629"/>
      <c r="E11" s="629"/>
      <c r="F11" s="630"/>
      <c r="G11" s="629"/>
      <c r="H11" s="26"/>
    </row>
    <row r="12" spans="1:12" ht="14.25">
      <c r="A12" s="622" t="s">
        <v>490</v>
      </c>
      <c r="B12" s="623"/>
      <c r="C12" s="623"/>
      <c r="D12" s="623"/>
      <c r="E12" s="623"/>
      <c r="F12" s="623"/>
      <c r="G12" s="624"/>
      <c r="H12" s="373"/>
    </row>
    <row r="13" spans="1:12" ht="15" customHeight="1">
      <c r="A13" s="618" t="s">
        <v>161</v>
      </c>
      <c r="B13" s="625">
        <f>об.небл!F15</f>
        <v>31745.7</v>
      </c>
      <c r="C13" s="620">
        <f>D13*B13*12/1000</f>
        <v>206.00635006828799</v>
      </c>
      <c r="D13" s="615">
        <f>0.1752*1.15*2.684</f>
        <v>0.54077231999999997</v>
      </c>
      <c r="E13" s="616">
        <f>D13*12</f>
        <v>6.4892678400000001</v>
      </c>
      <c r="F13" s="616" t="s">
        <v>545</v>
      </c>
      <c r="G13" s="627" t="s">
        <v>276</v>
      </c>
      <c r="H13" s="614"/>
      <c r="L13" s="201">
        <f>I20+C31+C33+C34+C40+C47+C49+C50+C60+C75+C76+C22</f>
        <v>1574.513240031366</v>
      </c>
    </row>
    <row r="14" spans="1:12" ht="20.25" customHeight="1">
      <c r="A14" s="618"/>
      <c r="B14" s="626"/>
      <c r="C14" s="620"/>
      <c r="D14" s="615"/>
      <c r="E14" s="617"/>
      <c r="F14" s="617"/>
      <c r="G14" s="626"/>
      <c r="H14" s="614"/>
    </row>
    <row r="15" spans="1:12" ht="45" hidden="1" customHeight="1">
      <c r="A15" s="379"/>
      <c r="B15" s="385">
        <f>B13</f>
        <v>31745.7</v>
      </c>
      <c r="C15" s="206">
        <f t="shared" ref="C15:C20" si="0">D15*B15*12/1000</f>
        <v>0</v>
      </c>
      <c r="D15" s="381"/>
      <c r="E15" s="206">
        <f>D15*12</f>
        <v>0</v>
      </c>
      <c r="F15" s="412"/>
      <c r="G15" s="383"/>
      <c r="H15" s="173"/>
    </row>
    <row r="16" spans="1:12" ht="31.5" hidden="1" customHeight="1">
      <c r="A16" s="379" t="s">
        <v>444</v>
      </c>
      <c r="B16" s="211">
        <f>B15</f>
        <v>31745.7</v>
      </c>
      <c r="C16" s="206">
        <f t="shared" si="0"/>
        <v>0</v>
      </c>
      <c r="D16" s="381"/>
      <c r="E16" s="206">
        <f t="shared" ref="E16:E22" si="1">D16*12</f>
        <v>0</v>
      </c>
      <c r="F16" s="412"/>
      <c r="G16" s="383"/>
      <c r="H16" s="173"/>
    </row>
    <row r="17" spans="1:9" ht="24" hidden="1" customHeight="1">
      <c r="A17" s="379" t="s">
        <v>494</v>
      </c>
      <c r="B17" s="211">
        <f>B16</f>
        <v>31745.7</v>
      </c>
      <c r="C17" s="206">
        <f t="shared" si="0"/>
        <v>0</v>
      </c>
      <c r="D17" s="381"/>
      <c r="E17" s="206">
        <f t="shared" si="1"/>
        <v>0</v>
      </c>
      <c r="F17" s="412"/>
      <c r="G17" s="383"/>
      <c r="H17" s="173"/>
    </row>
    <row r="18" spans="1:9" ht="30" hidden="1">
      <c r="A18" s="379" t="s">
        <v>495</v>
      </c>
      <c r="B18" s="211">
        <f>B17</f>
        <v>31745.7</v>
      </c>
      <c r="C18" s="206">
        <f t="shared" si="0"/>
        <v>9.7141842</v>
      </c>
      <c r="D18" s="381">
        <f>0.0255</f>
        <v>2.5499999999999998E-2</v>
      </c>
      <c r="E18" s="206">
        <f t="shared" si="1"/>
        <v>0.30599999999999999</v>
      </c>
      <c r="F18" s="412"/>
      <c r="G18" s="383"/>
      <c r="H18" s="173"/>
    </row>
    <row r="19" spans="1:9" ht="30" hidden="1">
      <c r="A19" s="379" t="s">
        <v>496</v>
      </c>
      <c r="B19" s="211">
        <f>B18</f>
        <v>31745.7</v>
      </c>
      <c r="C19" s="206">
        <f t="shared" si="0"/>
        <v>0</v>
      </c>
      <c r="D19" s="381"/>
      <c r="E19" s="206">
        <f t="shared" si="1"/>
        <v>0</v>
      </c>
      <c r="F19" s="412"/>
      <c r="G19" s="383"/>
      <c r="H19" s="173"/>
    </row>
    <row r="20" spans="1:9" ht="60" hidden="1">
      <c r="A20" s="379" t="s">
        <v>497</v>
      </c>
      <c r="B20" s="211">
        <f>B19</f>
        <v>31745.7</v>
      </c>
      <c r="C20" s="206">
        <f t="shared" si="0"/>
        <v>0</v>
      </c>
      <c r="D20" s="381">
        <v>0</v>
      </c>
      <c r="E20" s="206">
        <f t="shared" si="1"/>
        <v>0</v>
      </c>
      <c r="F20" s="412"/>
      <c r="G20" s="383"/>
      <c r="H20" s="173"/>
      <c r="I20" s="201">
        <f>SUM(C13:C20)</f>
        <v>215.72053426828799</v>
      </c>
    </row>
    <row r="21" spans="1:9" ht="14.25">
      <c r="A21" s="613" t="s">
        <v>498</v>
      </c>
      <c r="B21" s="613"/>
      <c r="C21" s="613"/>
      <c r="D21" s="613"/>
      <c r="E21" s="613"/>
      <c r="F21" s="613"/>
      <c r="G21" s="613"/>
      <c r="H21" s="173"/>
    </row>
    <row r="22" spans="1:9" ht="30">
      <c r="A22" s="379" t="s">
        <v>301</v>
      </c>
      <c r="B22" s="211">
        <f>B20</f>
        <v>31745.7</v>
      </c>
      <c r="C22" s="206">
        <f>D22*B22*12/1000</f>
        <v>145.52228880000001</v>
      </c>
      <c r="D22" s="381">
        <v>0.38200000000000001</v>
      </c>
      <c r="E22" s="206">
        <f t="shared" si="1"/>
        <v>4.5839999999999996</v>
      </c>
      <c r="F22" s="412" t="s">
        <v>545</v>
      </c>
      <c r="G22" s="417" t="s">
        <v>276</v>
      </c>
      <c r="H22" s="173"/>
    </row>
    <row r="23" spans="1:9" ht="16.5" hidden="1" customHeight="1">
      <c r="A23" s="379" t="s">
        <v>500</v>
      </c>
      <c r="B23" s="619">
        <f>B22</f>
        <v>31745.7</v>
      </c>
      <c r="C23" s="620">
        <f>D23*B23*12/1000</f>
        <v>0</v>
      </c>
      <c r="D23" s="615"/>
      <c r="E23" s="616">
        <f>D23*12</f>
        <v>0</v>
      </c>
      <c r="F23" s="414"/>
      <c r="G23" s="613"/>
      <c r="H23" s="614"/>
    </row>
    <row r="24" spans="1:9" ht="13.5" hidden="1" customHeight="1">
      <c r="A24" s="379" t="s">
        <v>501</v>
      </c>
      <c r="B24" s="619"/>
      <c r="C24" s="620"/>
      <c r="D24" s="615"/>
      <c r="E24" s="617"/>
      <c r="F24" s="415"/>
      <c r="G24" s="613"/>
      <c r="H24" s="614"/>
    </row>
    <row r="25" spans="1:9" ht="45" hidden="1" customHeight="1">
      <c r="A25" s="379" t="s">
        <v>502</v>
      </c>
      <c r="B25" s="211">
        <f>B22</f>
        <v>31745.7</v>
      </c>
      <c r="C25" s="206">
        <f>D25*B25*12/1000</f>
        <v>0</v>
      </c>
      <c r="D25" s="381"/>
      <c r="E25" s="206">
        <f t="shared" ref="E25:E76" si="2">D25*12</f>
        <v>0</v>
      </c>
      <c r="F25" s="412"/>
      <c r="G25" s="386"/>
      <c r="H25" s="173"/>
    </row>
    <row r="26" spans="1:9" ht="45" hidden="1" customHeight="1">
      <c r="A26" s="379" t="s">
        <v>503</v>
      </c>
      <c r="B26" s="211">
        <f>B25</f>
        <v>31745.7</v>
      </c>
      <c r="C26" s="206">
        <f>D26*B26*12/1000</f>
        <v>0</v>
      </c>
      <c r="D26" s="381"/>
      <c r="E26" s="206">
        <f t="shared" si="2"/>
        <v>0</v>
      </c>
      <c r="F26" s="412"/>
      <c r="G26" s="386"/>
      <c r="H26" s="173"/>
    </row>
    <row r="27" spans="1:9" ht="60" hidden="1">
      <c r="A27" s="379" t="s">
        <v>446</v>
      </c>
      <c r="B27" s="211">
        <f>B26</f>
        <v>31745.7</v>
      </c>
      <c r="C27" s="206">
        <f>D27*B27*12/1000</f>
        <v>0</v>
      </c>
      <c r="D27" s="381"/>
      <c r="E27" s="206">
        <f t="shared" si="2"/>
        <v>0</v>
      </c>
      <c r="F27" s="412"/>
      <c r="G27" s="386"/>
      <c r="H27" s="173"/>
    </row>
    <row r="28" spans="1:9" ht="30" hidden="1">
      <c r="A28" s="379" t="s">
        <v>507</v>
      </c>
      <c r="B28" s="211">
        <f>B27</f>
        <v>31745.7</v>
      </c>
      <c r="C28" s="206">
        <f>D28*B28*12/1000</f>
        <v>0</v>
      </c>
      <c r="D28" s="211"/>
      <c r="E28" s="206">
        <f t="shared" si="2"/>
        <v>0</v>
      </c>
      <c r="F28" s="412"/>
      <c r="G28" s="386"/>
      <c r="H28" s="173"/>
      <c r="I28" s="201">
        <f>SUM(C22:C28)</f>
        <v>145.52228880000001</v>
      </c>
    </row>
    <row r="29" spans="1:9" ht="14.25">
      <c r="A29" s="613" t="s">
        <v>508</v>
      </c>
      <c r="B29" s="613"/>
      <c r="C29" s="613"/>
      <c r="D29" s="613"/>
      <c r="E29" s="613"/>
      <c r="F29" s="613"/>
      <c r="G29" s="613"/>
      <c r="H29" s="173"/>
    </row>
    <row r="30" spans="1:9" ht="31.5" hidden="1" customHeight="1">
      <c r="A30" s="379" t="s">
        <v>509</v>
      </c>
      <c r="B30" s="211">
        <f>B28</f>
        <v>31745.7</v>
      </c>
      <c r="C30" s="206">
        <f>D30*B30*12/1000</f>
        <v>0</v>
      </c>
      <c r="D30" s="381"/>
      <c r="E30" s="206">
        <f t="shared" si="2"/>
        <v>0</v>
      </c>
      <c r="F30" s="412"/>
      <c r="G30" s="211"/>
      <c r="H30" s="173"/>
    </row>
    <row r="31" spans="1:9" ht="39" customHeight="1">
      <c r="A31" s="379" t="s">
        <v>162</v>
      </c>
      <c r="B31" s="211">
        <f>B28</f>
        <v>31745.7</v>
      </c>
      <c r="C31" s="206">
        <f t="shared" ref="C31:C42" si="3">D31*B31*12/1000</f>
        <v>19.292901625166401</v>
      </c>
      <c r="D31" s="381">
        <f>доп.усл.!D31*2.684</f>
        <v>5.0644396000000001E-2</v>
      </c>
      <c r="E31" s="206">
        <f t="shared" si="2"/>
        <v>0.60773275199999999</v>
      </c>
      <c r="F31" s="412" t="s">
        <v>545</v>
      </c>
      <c r="G31" s="417" t="s">
        <v>276</v>
      </c>
      <c r="H31" s="173"/>
    </row>
    <row r="32" spans="1:9" ht="30" hidden="1" customHeight="1">
      <c r="A32" s="379" t="s">
        <v>511</v>
      </c>
      <c r="B32" s="211">
        <f t="shared" ref="B32:B38" si="4">B31</f>
        <v>31745.7</v>
      </c>
      <c r="C32" s="206">
        <f t="shared" si="3"/>
        <v>0</v>
      </c>
      <c r="D32" s="381"/>
      <c r="E32" s="206">
        <f t="shared" si="2"/>
        <v>0</v>
      </c>
      <c r="F32" s="412"/>
      <c r="G32" s="211"/>
      <c r="H32" s="173"/>
    </row>
    <row r="33" spans="1:9" ht="30" customHeight="1">
      <c r="A33" s="379" t="s">
        <v>163</v>
      </c>
      <c r="B33" s="211">
        <f t="shared" si="4"/>
        <v>31745.7</v>
      </c>
      <c r="C33" s="206">
        <f t="shared" si="3"/>
        <v>70.933829400403198</v>
      </c>
      <c r="D33" s="381">
        <f>доп.усл.!D33*1.684</f>
        <v>0.18620324799999999</v>
      </c>
      <c r="E33" s="206">
        <f t="shared" si="2"/>
        <v>2.2344389759999999</v>
      </c>
      <c r="F33" s="412" t="s">
        <v>545</v>
      </c>
      <c r="G33" s="417" t="s">
        <v>276</v>
      </c>
      <c r="H33" s="173"/>
    </row>
    <row r="34" spans="1:9" ht="59.25" customHeight="1">
      <c r="A34" s="379" t="s">
        <v>513</v>
      </c>
      <c r="B34" s="211">
        <f t="shared" si="4"/>
        <v>31745.7</v>
      </c>
      <c r="C34" s="206">
        <f>D34*B34*12/1000</f>
        <v>54.325637243539205</v>
      </c>
      <c r="D34" s="381">
        <f>доп.усл.!D34*2.684</f>
        <v>0.142606288</v>
      </c>
      <c r="E34" s="206">
        <f t="shared" si="2"/>
        <v>1.7112754560000001</v>
      </c>
      <c r="F34" s="412" t="s">
        <v>545</v>
      </c>
      <c r="G34" s="417" t="s">
        <v>276</v>
      </c>
      <c r="H34" s="173"/>
    </row>
    <row r="35" spans="1:9" ht="91.5" hidden="1" customHeight="1">
      <c r="A35" s="379" t="s">
        <v>514</v>
      </c>
      <c r="B35" s="211">
        <f t="shared" si="4"/>
        <v>31745.7</v>
      </c>
      <c r="C35" s="206">
        <f t="shared" si="3"/>
        <v>0</v>
      </c>
      <c r="D35" s="381"/>
      <c r="E35" s="206">
        <f t="shared" si="2"/>
        <v>0</v>
      </c>
      <c r="F35" s="412"/>
      <c r="G35" s="211"/>
      <c r="H35" s="173"/>
    </row>
    <row r="36" spans="1:9" ht="45.75" hidden="1" customHeight="1">
      <c r="A36" s="379" t="s">
        <v>515</v>
      </c>
      <c r="B36" s="211">
        <f t="shared" si="4"/>
        <v>31745.7</v>
      </c>
      <c r="C36" s="206">
        <f t="shared" si="3"/>
        <v>0</v>
      </c>
      <c r="D36" s="381"/>
      <c r="E36" s="206">
        <f t="shared" si="2"/>
        <v>0</v>
      </c>
      <c r="F36" s="412"/>
      <c r="G36" s="211"/>
      <c r="H36" s="173"/>
    </row>
    <row r="37" spans="1:9" ht="62.25" hidden="1" customHeight="1">
      <c r="A37" s="379" t="s">
        <v>448</v>
      </c>
      <c r="B37" s="211">
        <f t="shared" si="4"/>
        <v>31745.7</v>
      </c>
      <c r="C37" s="206">
        <f>D37*B37*12/1000</f>
        <v>0</v>
      </c>
      <c r="D37" s="381"/>
      <c r="E37" s="206">
        <f t="shared" si="2"/>
        <v>0</v>
      </c>
      <c r="F37" s="412"/>
      <c r="G37" s="211"/>
      <c r="H37" s="173"/>
    </row>
    <row r="38" spans="1:9" ht="28.5" hidden="1" customHeight="1">
      <c r="A38" s="379" t="s">
        <v>27</v>
      </c>
      <c r="B38" s="211">
        <f t="shared" si="4"/>
        <v>31745.7</v>
      </c>
      <c r="C38" s="206">
        <f t="shared" si="3"/>
        <v>0</v>
      </c>
      <c r="D38" s="381"/>
      <c r="E38" s="206">
        <f t="shared" si="2"/>
        <v>0</v>
      </c>
      <c r="F38" s="412"/>
      <c r="G38" s="211"/>
      <c r="H38" s="173"/>
      <c r="I38" s="201">
        <f>SUM(C31:C38)</f>
        <v>144.5523682691088</v>
      </c>
    </row>
    <row r="39" spans="1:9" ht="14.25">
      <c r="A39" s="613" t="s">
        <v>518</v>
      </c>
      <c r="B39" s="613"/>
      <c r="C39" s="613"/>
      <c r="D39" s="613"/>
      <c r="E39" s="613"/>
      <c r="F39" s="613"/>
      <c r="G39" s="613"/>
      <c r="H39" s="173"/>
    </row>
    <row r="40" spans="1:9" ht="43.5" customHeight="1">
      <c r="A40" s="379" t="s">
        <v>360</v>
      </c>
      <c r="B40" s="211">
        <f>B38</f>
        <v>31745.7</v>
      </c>
      <c r="C40" s="206">
        <f t="shared" si="3"/>
        <v>6.7539981437913594</v>
      </c>
      <c r="D40" s="381">
        <f>доп.усл.!D40*1.15*2.684</f>
        <v>1.7729430399999999E-2</v>
      </c>
      <c r="E40" s="206">
        <f t="shared" si="2"/>
        <v>0.21275316480000001</v>
      </c>
      <c r="F40" s="412" t="s">
        <v>545</v>
      </c>
      <c r="G40" s="417" t="s">
        <v>276</v>
      </c>
      <c r="H40" s="173"/>
    </row>
    <row r="41" spans="1:9" ht="43.5" hidden="1" customHeight="1">
      <c r="A41" s="379" t="s">
        <v>520</v>
      </c>
      <c r="B41" s="211">
        <f>B40</f>
        <v>31745.7</v>
      </c>
      <c r="C41" s="206">
        <f t="shared" si="3"/>
        <v>0</v>
      </c>
      <c r="D41" s="381"/>
      <c r="E41" s="206">
        <f t="shared" si="2"/>
        <v>0</v>
      </c>
      <c r="F41" s="412"/>
      <c r="G41" s="386"/>
      <c r="H41" s="173"/>
      <c r="I41" s="201">
        <f>SUM(C40:C41)</f>
        <v>6.7539981437913594</v>
      </c>
    </row>
    <row r="42" spans="1:9" ht="60" hidden="1">
      <c r="A42" s="379" t="s">
        <v>523</v>
      </c>
      <c r="B42" s="211">
        <f>B41</f>
        <v>31745.7</v>
      </c>
      <c r="C42" s="206">
        <f t="shared" si="3"/>
        <v>0</v>
      </c>
      <c r="D42" s="381"/>
      <c r="E42" s="206">
        <f t="shared" si="2"/>
        <v>0</v>
      </c>
      <c r="F42" s="412"/>
      <c r="G42" s="386"/>
      <c r="H42" s="173"/>
    </row>
    <row r="43" spans="1:9" ht="14.25">
      <c r="A43" s="613" t="s">
        <v>524</v>
      </c>
      <c r="B43" s="613"/>
      <c r="C43" s="613"/>
      <c r="D43" s="613"/>
      <c r="E43" s="613"/>
      <c r="F43" s="613"/>
      <c r="G43" s="613"/>
      <c r="H43" s="173"/>
    </row>
    <row r="44" spans="1:9" ht="44.25" hidden="1" customHeight="1">
      <c r="A44" s="379" t="s">
        <v>525</v>
      </c>
      <c r="B44" s="211">
        <f>B42</f>
        <v>31745.7</v>
      </c>
      <c r="C44" s="206">
        <f>D44*B44*12/1000</f>
        <v>0</v>
      </c>
      <c r="D44" s="381"/>
      <c r="E44" s="206">
        <f t="shared" si="2"/>
        <v>0</v>
      </c>
      <c r="F44" s="412"/>
      <c r="G44" s="386"/>
      <c r="H44" s="173"/>
    </row>
    <row r="45" spans="1:9" ht="30.75" hidden="1" customHeight="1">
      <c r="A45" s="379" t="s">
        <v>526</v>
      </c>
      <c r="B45" s="211">
        <f>B44</f>
        <v>31745.7</v>
      </c>
      <c r="C45" s="206">
        <f>D45*B45*12/1000</f>
        <v>0</v>
      </c>
      <c r="D45" s="381"/>
      <c r="E45" s="206">
        <f t="shared" si="2"/>
        <v>0</v>
      </c>
      <c r="F45" s="412"/>
      <c r="G45" s="386"/>
      <c r="H45" s="173"/>
    </row>
    <row r="46" spans="1:9" ht="18" hidden="1" customHeight="1">
      <c r="A46" s="379" t="s">
        <v>527</v>
      </c>
      <c r="B46" s="211">
        <f>B45</f>
        <v>31745.7</v>
      </c>
      <c r="C46" s="206">
        <f>D46*B46*12/1000</f>
        <v>0</v>
      </c>
      <c r="D46" s="381"/>
      <c r="E46" s="206">
        <f t="shared" si="2"/>
        <v>0</v>
      </c>
      <c r="F46" s="412"/>
      <c r="G46" s="386"/>
      <c r="H46" s="173"/>
    </row>
    <row r="47" spans="1:9" ht="15.75" customHeight="1">
      <c r="A47" s="379" t="s">
        <v>164</v>
      </c>
      <c r="B47" s="211">
        <f>B46</f>
        <v>31745.7</v>
      </c>
      <c r="C47" s="206">
        <f>D47*B47*12/1000</f>
        <v>67.539981437913596</v>
      </c>
      <c r="D47" s="381">
        <f>доп.усл.!D47*1.15*2.684</f>
        <v>0.17729430399999999</v>
      </c>
      <c r="E47" s="206">
        <f t="shared" si="2"/>
        <v>2.1275316479999997</v>
      </c>
      <c r="F47" s="412" t="s">
        <v>545</v>
      </c>
      <c r="G47" s="417" t="s">
        <v>276</v>
      </c>
      <c r="H47" s="173"/>
      <c r="I47" s="201">
        <f>SUM(C44:C47)</f>
        <v>67.539981437913596</v>
      </c>
    </row>
    <row r="48" spans="1:9" ht="14.25">
      <c r="A48" s="613" t="s">
        <v>531</v>
      </c>
      <c r="B48" s="613"/>
      <c r="C48" s="613"/>
      <c r="D48" s="613"/>
      <c r="E48" s="613"/>
      <c r="F48" s="613"/>
      <c r="G48" s="613"/>
      <c r="H48" s="173"/>
    </row>
    <row r="49" spans="1:9" ht="18.75" customHeight="1">
      <c r="A49" s="379" t="s">
        <v>39</v>
      </c>
      <c r="B49" s="211">
        <f>B47</f>
        <v>31745.7</v>
      </c>
      <c r="C49" s="206">
        <f t="shared" ref="C49:C68" si="5">D49*B49*12/1000</f>
        <v>186.48748356638401</v>
      </c>
      <c r="D49" s="211">
        <f>доп.усл.!D49*1.15*2.684</f>
        <v>0.48953475999999996</v>
      </c>
      <c r="E49" s="206">
        <f t="shared" si="2"/>
        <v>5.8744171199999995</v>
      </c>
      <c r="F49" s="412" t="s">
        <v>545</v>
      </c>
      <c r="G49" s="417" t="s">
        <v>276</v>
      </c>
      <c r="H49" s="173"/>
    </row>
    <row r="50" spans="1:9" ht="45.75" customHeight="1">
      <c r="A50" s="379" t="s">
        <v>40</v>
      </c>
      <c r="B50" s="211">
        <f t="shared" ref="B50:B61" si="6">B49</f>
        <v>31745.7</v>
      </c>
      <c r="C50" s="206">
        <f t="shared" si="5"/>
        <v>11.247120561600001</v>
      </c>
      <c r="D50" s="381">
        <f>0.011*2.684</f>
        <v>2.9524000000000002E-2</v>
      </c>
      <c r="E50" s="206">
        <f t="shared" si="2"/>
        <v>0.35428800000000005</v>
      </c>
      <c r="F50" s="412" t="s">
        <v>545</v>
      </c>
      <c r="G50" s="417" t="s">
        <v>276</v>
      </c>
      <c r="H50" s="173"/>
    </row>
    <row r="51" spans="1:9" ht="18" hidden="1" customHeight="1">
      <c r="A51" s="379" t="s">
        <v>534</v>
      </c>
      <c r="B51" s="211">
        <f t="shared" si="6"/>
        <v>31745.7</v>
      </c>
      <c r="C51" s="206">
        <f t="shared" si="5"/>
        <v>0</v>
      </c>
      <c r="D51" s="381"/>
      <c r="E51" s="206">
        <f t="shared" si="2"/>
        <v>0</v>
      </c>
      <c r="F51" s="412"/>
      <c r="G51" s="417"/>
      <c r="H51" s="173"/>
    </row>
    <row r="52" spans="1:9" ht="30" hidden="1" customHeight="1">
      <c r="A52" s="379" t="s">
        <v>535</v>
      </c>
      <c r="B52" s="211">
        <f t="shared" si="6"/>
        <v>31745.7</v>
      </c>
      <c r="C52" s="206">
        <f t="shared" si="5"/>
        <v>0</v>
      </c>
      <c r="D52" s="381"/>
      <c r="E52" s="206">
        <f t="shared" si="2"/>
        <v>0</v>
      </c>
      <c r="F52" s="412"/>
      <c r="G52" s="417"/>
      <c r="H52" s="173"/>
    </row>
    <row r="53" spans="1:9" ht="59.25" hidden="1" customHeight="1">
      <c r="A53" s="379" t="s">
        <v>536</v>
      </c>
      <c r="B53" s="211">
        <f t="shared" si="6"/>
        <v>31745.7</v>
      </c>
      <c r="C53" s="206">
        <f t="shared" si="5"/>
        <v>0</v>
      </c>
      <c r="D53" s="381"/>
      <c r="E53" s="206">
        <f t="shared" si="2"/>
        <v>0</v>
      </c>
      <c r="F53" s="412"/>
      <c r="G53" s="417"/>
      <c r="H53" s="173"/>
    </row>
    <row r="54" spans="1:9" ht="30" hidden="1" customHeight="1">
      <c r="A54" s="379" t="s">
        <v>537</v>
      </c>
      <c r="B54" s="211">
        <f t="shared" si="6"/>
        <v>31745.7</v>
      </c>
      <c r="C54" s="206">
        <f t="shared" si="5"/>
        <v>0</v>
      </c>
      <c r="D54" s="381"/>
      <c r="E54" s="206">
        <f t="shared" si="2"/>
        <v>0</v>
      </c>
      <c r="F54" s="412"/>
      <c r="G54" s="417"/>
      <c r="H54" s="173"/>
    </row>
    <row r="55" spans="1:9" ht="30.75" hidden="1" customHeight="1">
      <c r="A55" s="379" t="s">
        <v>538</v>
      </c>
      <c r="B55" s="211">
        <f t="shared" si="6"/>
        <v>31745.7</v>
      </c>
      <c r="C55" s="206">
        <f t="shared" si="5"/>
        <v>0</v>
      </c>
      <c r="D55" s="211"/>
      <c r="E55" s="206">
        <f t="shared" si="2"/>
        <v>0</v>
      </c>
      <c r="F55" s="412"/>
      <c r="G55" s="417"/>
      <c r="H55" s="173"/>
    </row>
    <row r="56" spans="1:9" ht="29.25" hidden="1" customHeight="1">
      <c r="A56" s="379" t="s">
        <v>539</v>
      </c>
      <c r="B56" s="211">
        <f t="shared" si="6"/>
        <v>31745.7</v>
      </c>
      <c r="C56" s="206">
        <f t="shared" si="5"/>
        <v>0</v>
      </c>
      <c r="D56" s="381"/>
      <c r="E56" s="206">
        <f t="shared" si="2"/>
        <v>0</v>
      </c>
      <c r="F56" s="412"/>
      <c r="G56" s="417"/>
      <c r="H56" s="173"/>
    </row>
    <row r="57" spans="1:9" ht="30.75" hidden="1" customHeight="1">
      <c r="A57" s="379" t="s">
        <v>450</v>
      </c>
      <c r="B57" s="211">
        <f t="shared" si="6"/>
        <v>31745.7</v>
      </c>
      <c r="C57" s="206">
        <f t="shared" si="5"/>
        <v>0</v>
      </c>
      <c r="D57" s="381"/>
      <c r="E57" s="206">
        <f t="shared" si="2"/>
        <v>0</v>
      </c>
      <c r="F57" s="412"/>
      <c r="G57" s="417"/>
      <c r="H57" s="173"/>
    </row>
    <row r="58" spans="1:9" ht="45.75" hidden="1" customHeight="1">
      <c r="A58" s="379" t="s">
        <v>1</v>
      </c>
      <c r="B58" s="211">
        <f t="shared" si="6"/>
        <v>31745.7</v>
      </c>
      <c r="C58" s="206">
        <f t="shared" si="5"/>
        <v>0</v>
      </c>
      <c r="D58" s="381"/>
      <c r="E58" s="206">
        <f t="shared" si="2"/>
        <v>0</v>
      </c>
      <c r="F58" s="412"/>
      <c r="G58" s="417"/>
      <c r="H58" s="173"/>
    </row>
    <row r="59" spans="1:9" ht="31.5" hidden="1" customHeight="1">
      <c r="A59" s="379" t="s">
        <v>2</v>
      </c>
      <c r="B59" s="211">
        <f t="shared" si="6"/>
        <v>31745.7</v>
      </c>
      <c r="C59" s="206">
        <f t="shared" si="5"/>
        <v>0</v>
      </c>
      <c r="D59" s="381"/>
      <c r="E59" s="206">
        <f t="shared" si="2"/>
        <v>0</v>
      </c>
      <c r="F59" s="412"/>
      <c r="G59" s="417"/>
      <c r="H59" s="173"/>
    </row>
    <row r="60" spans="1:9" ht="31.5" customHeight="1">
      <c r="A60" s="379" t="s">
        <v>165</v>
      </c>
      <c r="B60" s="211">
        <f t="shared" si="6"/>
        <v>31745.7</v>
      </c>
      <c r="C60" s="206">
        <f t="shared" si="5"/>
        <v>24.641418684960001</v>
      </c>
      <c r="D60" s="381">
        <f>0.0241*2.684</f>
        <v>6.4684400000000003E-2</v>
      </c>
      <c r="E60" s="206">
        <f t="shared" si="2"/>
        <v>0.77621280000000004</v>
      </c>
      <c r="F60" s="412" t="s">
        <v>545</v>
      </c>
      <c r="G60" s="417" t="s">
        <v>276</v>
      </c>
      <c r="H60" s="173"/>
    </row>
    <row r="61" spans="1:9" ht="34.5" hidden="1" customHeight="1">
      <c r="A61" s="379" t="s">
        <v>4</v>
      </c>
      <c r="B61" s="211">
        <f t="shared" si="6"/>
        <v>31745.7</v>
      </c>
      <c r="C61" s="206">
        <f t="shared" si="5"/>
        <v>0</v>
      </c>
      <c r="D61" s="381"/>
      <c r="E61" s="206">
        <f t="shared" si="2"/>
        <v>0</v>
      </c>
      <c r="F61" s="412"/>
      <c r="G61" s="386"/>
      <c r="H61" s="173"/>
      <c r="I61" s="201">
        <f>SUM(C49:C61)</f>
        <v>222.37602281294403</v>
      </c>
    </row>
    <row r="62" spans="1:9" ht="18.75" hidden="1" customHeight="1">
      <c r="A62" s="613" t="s">
        <v>5</v>
      </c>
      <c r="B62" s="613"/>
      <c r="C62" s="613"/>
      <c r="D62" s="613"/>
      <c r="E62" s="613"/>
      <c r="F62" s="613"/>
      <c r="G62" s="613"/>
      <c r="H62" s="173"/>
    </row>
    <row r="63" spans="1:9" ht="30" hidden="1" customHeight="1">
      <c r="A63" s="379" t="s">
        <v>6</v>
      </c>
      <c r="B63" s="211">
        <f>B61</f>
        <v>31745.7</v>
      </c>
      <c r="C63" s="206">
        <f t="shared" si="5"/>
        <v>0</v>
      </c>
      <c r="D63" s="381"/>
      <c r="E63" s="206">
        <f t="shared" si="2"/>
        <v>0</v>
      </c>
      <c r="F63" s="412"/>
      <c r="G63" s="211"/>
      <c r="H63" s="173"/>
    </row>
    <row r="64" spans="1:9" ht="30.75" hidden="1" customHeight="1">
      <c r="A64" s="379" t="s">
        <v>7</v>
      </c>
      <c r="B64" s="211">
        <f>B63</f>
        <v>31745.7</v>
      </c>
      <c r="C64" s="206">
        <f t="shared" si="5"/>
        <v>0</v>
      </c>
      <c r="D64" s="381"/>
      <c r="E64" s="206">
        <f t="shared" si="2"/>
        <v>0</v>
      </c>
      <c r="F64" s="412"/>
      <c r="G64" s="211"/>
      <c r="H64" s="173"/>
    </row>
    <row r="65" spans="1:9" ht="30.75" hidden="1" customHeight="1">
      <c r="A65" s="379" t="s">
        <v>8</v>
      </c>
      <c r="B65" s="211">
        <f>B64</f>
        <v>31745.7</v>
      </c>
      <c r="C65" s="206">
        <f t="shared" si="5"/>
        <v>0</v>
      </c>
      <c r="D65" s="211"/>
      <c r="E65" s="206">
        <f t="shared" si="2"/>
        <v>0</v>
      </c>
      <c r="F65" s="412"/>
      <c r="G65" s="211"/>
      <c r="H65" s="173"/>
    </row>
    <row r="66" spans="1:9" ht="30.75" hidden="1" customHeight="1">
      <c r="A66" s="379" t="s">
        <v>9</v>
      </c>
      <c r="B66" s="211">
        <f>B65</f>
        <v>31745.7</v>
      </c>
      <c r="C66" s="206">
        <f t="shared" si="5"/>
        <v>0</v>
      </c>
      <c r="D66" s="211"/>
      <c r="E66" s="206">
        <f t="shared" si="2"/>
        <v>0</v>
      </c>
      <c r="F66" s="412"/>
      <c r="G66" s="211"/>
      <c r="H66" s="173"/>
    </row>
    <row r="67" spans="1:9" ht="30" hidden="1" customHeight="1">
      <c r="A67" s="379" t="s">
        <v>451</v>
      </c>
      <c r="B67" s="211">
        <f>B66</f>
        <v>31745.7</v>
      </c>
      <c r="C67" s="206">
        <f t="shared" si="5"/>
        <v>0</v>
      </c>
      <c r="D67" s="381"/>
      <c r="E67" s="206">
        <f t="shared" si="2"/>
        <v>0</v>
      </c>
      <c r="F67" s="412"/>
      <c r="G67" s="211"/>
      <c r="H67" s="173"/>
      <c r="I67" s="201">
        <f>SUM(C63:C67)</f>
        <v>0</v>
      </c>
    </row>
    <row r="68" spans="1:9" ht="29.25" hidden="1" customHeight="1">
      <c r="A68" s="379" t="s">
        <v>11</v>
      </c>
      <c r="B68" s="211">
        <f>B67</f>
        <v>31745.7</v>
      </c>
      <c r="C68" s="206">
        <f t="shared" si="5"/>
        <v>0</v>
      </c>
      <c r="D68" s="211"/>
      <c r="E68" s="206">
        <f t="shared" si="2"/>
        <v>0</v>
      </c>
      <c r="F68" s="412"/>
      <c r="G68" s="211"/>
      <c r="H68" s="173"/>
    </row>
    <row r="69" spans="1:9" ht="14.25" hidden="1">
      <c r="A69" s="613" t="s">
        <v>12</v>
      </c>
      <c r="B69" s="613"/>
      <c r="C69" s="613"/>
      <c r="D69" s="613"/>
      <c r="E69" s="613"/>
      <c r="F69" s="613"/>
      <c r="G69" s="613"/>
      <c r="H69" s="173"/>
    </row>
    <row r="70" spans="1:9" ht="30.75" hidden="1" customHeight="1">
      <c r="A70" s="379" t="s">
        <v>13</v>
      </c>
      <c r="B70" s="211">
        <f>B68</f>
        <v>31745.7</v>
      </c>
      <c r="C70" s="206">
        <f>D70*B70*12/1000</f>
        <v>0</v>
      </c>
      <c r="D70" s="381"/>
      <c r="E70" s="206">
        <f t="shared" si="2"/>
        <v>0</v>
      </c>
      <c r="F70" s="412"/>
      <c r="G70" s="386"/>
      <c r="H70" s="173"/>
    </row>
    <row r="71" spans="1:9" ht="18" hidden="1" customHeight="1">
      <c r="A71" s="379" t="s">
        <v>14</v>
      </c>
      <c r="B71" s="211">
        <f>B70</f>
        <v>31745.7</v>
      </c>
      <c r="C71" s="206">
        <f>D71*B71*12/1000</f>
        <v>0</v>
      </c>
      <c r="D71" s="381"/>
      <c r="E71" s="206">
        <f t="shared" si="2"/>
        <v>0</v>
      </c>
      <c r="F71" s="412"/>
      <c r="G71" s="386"/>
      <c r="H71" s="173"/>
    </row>
    <row r="72" spans="1:9" ht="33" hidden="1" customHeight="1">
      <c r="A72" s="379" t="s">
        <v>15</v>
      </c>
      <c r="B72" s="211">
        <f>B71</f>
        <v>31745.7</v>
      </c>
      <c r="C72" s="206">
        <f>D72*B72*12/1000</f>
        <v>0</v>
      </c>
      <c r="D72" s="381"/>
      <c r="E72" s="206">
        <f t="shared" si="2"/>
        <v>0</v>
      </c>
      <c r="F72" s="412"/>
      <c r="G72" s="386"/>
      <c r="H72" s="173"/>
      <c r="I72" s="201">
        <f>SUM(C71:C72)</f>
        <v>0</v>
      </c>
    </row>
    <row r="73" spans="1:9" ht="15" hidden="1">
      <c r="A73" s="379" t="s">
        <v>16</v>
      </c>
      <c r="B73" s="211">
        <f>B72</f>
        <v>31745.7</v>
      </c>
      <c r="C73" s="206">
        <f>D73*B73*12/1000</f>
        <v>0</v>
      </c>
      <c r="D73" s="381"/>
      <c r="E73" s="206">
        <f t="shared" si="2"/>
        <v>0</v>
      </c>
      <c r="F73" s="412"/>
      <c r="G73" s="386"/>
      <c r="H73" s="173"/>
    </row>
    <row r="74" spans="1:9" ht="14.25">
      <c r="A74" s="613" t="s">
        <v>17</v>
      </c>
      <c r="B74" s="613"/>
      <c r="C74" s="613"/>
      <c r="D74" s="613"/>
      <c r="E74" s="613"/>
      <c r="F74" s="613"/>
      <c r="G74" s="613"/>
      <c r="H74" s="173"/>
    </row>
    <row r="75" spans="1:9" ht="45">
      <c r="A75" s="379" t="s">
        <v>19</v>
      </c>
      <c r="B75" s="211">
        <f>B60</f>
        <v>31745.7</v>
      </c>
      <c r="C75" s="206">
        <f>D75*B75*12/1000</f>
        <v>204.11958121380002</v>
      </c>
      <c r="D75" s="381">
        <f>до.полуб!D74*1.15*2.79</f>
        <v>0.5358195</v>
      </c>
      <c r="E75" s="206">
        <f t="shared" si="2"/>
        <v>6.4298339999999996</v>
      </c>
      <c r="F75" s="412" t="s">
        <v>545</v>
      </c>
      <c r="G75" s="417" t="s">
        <v>276</v>
      </c>
      <c r="H75" s="173"/>
    </row>
    <row r="76" spans="1:9" ht="15">
      <c r="A76" s="379" t="s">
        <v>41</v>
      </c>
      <c r="B76" s="211">
        <f>B60</f>
        <v>31745.7</v>
      </c>
      <c r="C76" s="206">
        <f>D76*B76*12/1000</f>
        <v>567.92846508551997</v>
      </c>
      <c r="D76" s="381">
        <f>до.полуб!D75*1.15*2.684</f>
        <v>1.4908277999999997</v>
      </c>
      <c r="E76" s="206">
        <f t="shared" si="2"/>
        <v>17.889933599999996</v>
      </c>
      <c r="F76" s="412" t="s">
        <v>545</v>
      </c>
      <c r="G76" s="417" t="s">
        <v>276</v>
      </c>
      <c r="H76" s="173"/>
    </row>
    <row r="77" spans="1:9" ht="14.25" hidden="1">
      <c r="A77" s="584" t="s">
        <v>21</v>
      </c>
      <c r="B77" s="584"/>
      <c r="C77" s="584"/>
      <c r="D77" s="584"/>
      <c r="E77" s="584"/>
      <c r="F77" s="584"/>
      <c r="G77" s="584"/>
      <c r="H77" s="584"/>
    </row>
    <row r="78" spans="1:9" ht="12.75" hidden="1" customHeight="1">
      <c r="A78" s="618" t="s">
        <v>22</v>
      </c>
      <c r="B78" s="619">
        <f>B73</f>
        <v>31745.7</v>
      </c>
      <c r="C78" s="616">
        <f>D78*B78*12/1000</f>
        <v>0</v>
      </c>
      <c r="D78" s="615"/>
      <c r="E78" s="616">
        <f>D78*12</f>
        <v>0</v>
      </c>
      <c r="F78" s="414"/>
      <c r="G78" s="584"/>
      <c r="H78" s="584"/>
    </row>
    <row r="79" spans="1:9" ht="16.5" hidden="1" customHeight="1">
      <c r="A79" s="618"/>
      <c r="B79" s="619"/>
      <c r="C79" s="617"/>
      <c r="D79" s="615"/>
      <c r="E79" s="617"/>
      <c r="F79" s="415"/>
      <c r="G79" s="584"/>
      <c r="H79" s="584"/>
    </row>
    <row r="80" spans="1:9" ht="32.25" hidden="1" customHeight="1">
      <c r="A80" s="379" t="s">
        <v>42</v>
      </c>
      <c r="B80" s="211">
        <f>B78</f>
        <v>31745.7</v>
      </c>
      <c r="C80" s="206">
        <f>D80*B80*12/1000</f>
        <v>0</v>
      </c>
      <c r="D80" s="381"/>
      <c r="E80" s="206">
        <f>D80*12</f>
        <v>0</v>
      </c>
      <c r="F80" s="412"/>
      <c r="G80" s="584"/>
      <c r="H80" s="584"/>
      <c r="I80" s="201">
        <f>SUM(C78:C80)</f>
        <v>0</v>
      </c>
    </row>
    <row r="81" spans="1:12" ht="14.25" hidden="1">
      <c r="A81" s="613" t="s">
        <v>45</v>
      </c>
      <c r="B81" s="613"/>
      <c r="C81" s="613"/>
      <c r="D81" s="613"/>
      <c r="E81" s="613"/>
      <c r="F81" s="613"/>
      <c r="G81" s="613"/>
      <c r="H81" s="173"/>
    </row>
    <row r="82" spans="1:12" ht="33.75" hidden="1" customHeight="1">
      <c r="A82" s="379" t="s">
        <v>46</v>
      </c>
      <c r="B82" s="211">
        <f>B80</f>
        <v>31745.7</v>
      </c>
      <c r="C82" s="206">
        <f>D82*B82*12/1000</f>
        <v>0</v>
      </c>
      <c r="D82" s="211"/>
      <c r="E82" s="206">
        <f>D82*12</f>
        <v>0</v>
      </c>
      <c r="F82" s="412"/>
      <c r="G82" s="386"/>
      <c r="H82" s="173"/>
      <c r="I82" s="201">
        <f>SUM(C82:C82)</f>
        <v>0</v>
      </c>
    </row>
    <row r="83" spans="1:12" ht="14.25">
      <c r="A83" s="613" t="s">
        <v>49</v>
      </c>
      <c r="B83" s="613"/>
      <c r="C83" s="613"/>
      <c r="D83" s="613"/>
      <c r="E83" s="613"/>
      <c r="F83" s="613"/>
      <c r="G83" s="613"/>
      <c r="H83" s="173"/>
    </row>
    <row r="84" spans="1:12" ht="49.5" customHeight="1">
      <c r="A84" s="379" t="s">
        <v>50</v>
      </c>
      <c r="B84" s="211">
        <f>B82</f>
        <v>31745.7</v>
      </c>
      <c r="C84" s="206">
        <f>D84*B84*12/1000</f>
        <v>17.142678</v>
      </c>
      <c r="D84" s="381">
        <f>0.045</f>
        <v>4.4999999999999998E-2</v>
      </c>
      <c r="E84" s="206">
        <f t="shared" ref="E84:E92" si="7">D84*12</f>
        <v>0.54</v>
      </c>
      <c r="F84" s="412" t="s">
        <v>545</v>
      </c>
      <c r="G84" s="417" t="s">
        <v>276</v>
      </c>
      <c r="H84" s="173"/>
    </row>
    <row r="85" spans="1:12" ht="49.5" hidden="1" customHeight="1">
      <c r="A85" s="379" t="s">
        <v>51</v>
      </c>
      <c r="B85" s="211">
        <f>B84</f>
        <v>31745.7</v>
      </c>
      <c r="C85" s="206">
        <f>D85*B85*12/1000</f>
        <v>0</v>
      </c>
      <c r="D85" s="381"/>
      <c r="E85" s="206">
        <f t="shared" si="7"/>
        <v>0</v>
      </c>
      <c r="F85" s="412"/>
      <c r="G85" s="386"/>
      <c r="H85" s="173"/>
    </row>
    <row r="86" spans="1:12" ht="33" hidden="1" customHeight="1">
      <c r="A86" s="379" t="s">
        <v>52</v>
      </c>
      <c r="B86" s="211">
        <f>B85</f>
        <v>31745.7</v>
      </c>
      <c r="C86" s="206">
        <f>D86*B86*12/1000</f>
        <v>0</v>
      </c>
      <c r="D86" s="211"/>
      <c r="E86" s="206">
        <f t="shared" si="7"/>
        <v>0</v>
      </c>
      <c r="F86" s="412"/>
      <c r="G86" s="386"/>
      <c r="H86" s="173"/>
    </row>
    <row r="87" spans="1:12" ht="47.25" hidden="1" customHeight="1">
      <c r="A87" s="379" t="s">
        <v>53</v>
      </c>
      <c r="B87" s="211">
        <f>B86</f>
        <v>31745.7</v>
      </c>
      <c r="C87" s="206">
        <f>D87*B87*12/1000</f>
        <v>0</v>
      </c>
      <c r="D87" s="381"/>
      <c r="E87" s="206">
        <f t="shared" si="7"/>
        <v>0</v>
      </c>
      <c r="F87" s="412"/>
      <c r="G87" s="386"/>
      <c r="H87" s="173"/>
    </row>
    <row r="88" spans="1:12" ht="44.25" hidden="1" customHeight="1">
      <c r="A88" s="379" t="s">
        <v>54</v>
      </c>
      <c r="B88" s="211">
        <f>B87</f>
        <v>31745.7</v>
      </c>
      <c r="C88" s="206">
        <f>D88*B88*12/1000</f>
        <v>0</v>
      </c>
      <c r="D88" s="211"/>
      <c r="E88" s="206">
        <f t="shared" si="7"/>
        <v>0</v>
      </c>
      <c r="F88" s="412"/>
      <c r="G88" s="386"/>
      <c r="H88" s="173"/>
      <c r="I88" s="201">
        <f>SUM(C84:C88)</f>
        <v>17.142678</v>
      </c>
    </row>
    <row r="89" spans="1:12" ht="14.25">
      <c r="A89" s="613" t="s">
        <v>55</v>
      </c>
      <c r="B89" s="613"/>
      <c r="C89" s="613"/>
      <c r="D89" s="613"/>
      <c r="E89" s="613"/>
      <c r="F89" s="613"/>
      <c r="G89" s="613"/>
      <c r="H89" s="173"/>
    </row>
    <row r="90" spans="1:12" ht="31.5" customHeight="1">
      <c r="A90" s="379" t="s">
        <v>43</v>
      </c>
      <c r="B90" s="211">
        <f>B88</f>
        <v>31745.7</v>
      </c>
      <c r="C90" s="206">
        <f>D90*B90*12/1000</f>
        <v>160.37927639999998</v>
      </c>
      <c r="D90" s="381">
        <v>0.42099999999999999</v>
      </c>
      <c r="E90" s="206">
        <f t="shared" si="7"/>
        <v>5.0519999999999996</v>
      </c>
      <c r="F90" s="412" t="s">
        <v>545</v>
      </c>
      <c r="G90" s="417" t="s">
        <v>276</v>
      </c>
      <c r="H90" s="173"/>
      <c r="L90" s="355">
        <f>C90+C91</f>
        <v>160.37927639999998</v>
      </c>
    </row>
    <row r="91" spans="1:12" ht="32.25" hidden="1" customHeight="1">
      <c r="A91" s="379" t="s">
        <v>44</v>
      </c>
      <c r="B91" s="211">
        <f>B90</f>
        <v>31745.7</v>
      </c>
      <c r="C91" s="206">
        <f>D91*B91*12/1000</f>
        <v>0</v>
      </c>
      <c r="D91" s="211">
        <v>0</v>
      </c>
      <c r="E91" s="206">
        <f t="shared" si="7"/>
        <v>0</v>
      </c>
      <c r="F91" s="412"/>
      <c r="G91" s="386"/>
      <c r="H91" s="173"/>
    </row>
    <row r="92" spans="1:12" ht="45" hidden="1" customHeight="1">
      <c r="A92" s="379" t="s">
        <v>69</v>
      </c>
      <c r="B92" s="211">
        <f>B91</f>
        <v>31745.7</v>
      </c>
      <c r="C92" s="206">
        <f>D92*B92*12/1000</f>
        <v>0</v>
      </c>
      <c r="D92" s="211"/>
      <c r="E92" s="206">
        <f t="shared" si="7"/>
        <v>0</v>
      </c>
      <c r="F92" s="412"/>
      <c r="G92" s="386"/>
      <c r="H92" s="173"/>
      <c r="I92" s="201">
        <f>SUM(C90:C92)</f>
        <v>160.37927639999998</v>
      </c>
    </row>
    <row r="93" spans="1:12" ht="14.25" hidden="1">
      <c r="A93" s="613" t="s">
        <v>59</v>
      </c>
      <c r="B93" s="613"/>
      <c r="C93" s="613"/>
      <c r="D93" s="613"/>
      <c r="E93" s="613"/>
      <c r="F93" s="613"/>
      <c r="G93" s="613"/>
      <c r="H93" s="173"/>
    </row>
    <row r="94" spans="1:12" ht="15" hidden="1">
      <c r="A94" s="379" t="s">
        <v>61</v>
      </c>
      <c r="B94" s="386">
        <f>B95</f>
        <v>31745.7</v>
      </c>
      <c r="C94" s="206">
        <f>D94*B94*12/1000</f>
        <v>0</v>
      </c>
      <c r="D94" s="211"/>
      <c r="E94" s="206">
        <f>D94*12</f>
        <v>0</v>
      </c>
      <c r="F94" s="412"/>
      <c r="G94" s="386"/>
      <c r="H94" s="173"/>
    </row>
    <row r="95" spans="1:12" ht="15" hidden="1">
      <c r="A95" s="379" t="s">
        <v>64</v>
      </c>
      <c r="B95" s="386">
        <f>B92</f>
        <v>31745.7</v>
      </c>
      <c r="C95" s="206">
        <f>D95*B95*12/1000</f>
        <v>0</v>
      </c>
      <c r="D95" s="211"/>
      <c r="E95" s="206">
        <f>D95*12</f>
        <v>0</v>
      </c>
      <c r="F95" s="412"/>
      <c r="G95" s="386"/>
      <c r="H95" s="173"/>
    </row>
    <row r="96" spans="1:12" ht="14.25">
      <c r="A96" s="387" t="s">
        <v>65</v>
      </c>
      <c r="B96" s="386"/>
      <c r="C96" s="388">
        <f>C13+C18+C22+C31+C33+C34+C40+C47+C49+C50+C60+C75+C76+C84+C90+C91</f>
        <v>1752.0351944313657</v>
      </c>
      <c r="D96" s="389">
        <f>D13+D18+D22+D31+D33+D34+D40+D47+D49+D50+D60+D75+D76+D84+D90+D91</f>
        <v>4.5991404463999999</v>
      </c>
      <c r="E96" s="388">
        <f>E13+E15+E16+E17+E18+E19+E20+E22+E23+E25+E26+E27+E28+E30+E31+E32+E33+E34+E35+E36+E37+E38+E40+E41+E42+E44+E45+E46+E47+E49+E50+E51+E52+E53+E54+E55+E56+E57+E58+E59+E60+E61+E63+E68+E70+E71+E72+E73+E75+E76+E78+E80+E82+E84+E85+E86+E87+E88+E90+E91+E92+E94+E95</f>
        <v>55.189685356799991</v>
      </c>
      <c r="F96" s="388"/>
      <c r="G96" s="386"/>
      <c r="H96" s="173"/>
      <c r="I96">
        <f>C96/B95/12*1000</f>
        <v>4.599140446399999</v>
      </c>
    </row>
    <row r="97" spans="1:9" ht="30" customHeight="1">
      <c r="A97" s="390" t="s">
        <v>66</v>
      </c>
      <c r="B97" s="386"/>
      <c r="C97" s="389">
        <f>C96+об.небл!C25</f>
        <v>4115.2406320098053</v>
      </c>
      <c r="D97" s="408">
        <f>D96+об.небл!D25</f>
        <v>10.802619546399999</v>
      </c>
      <c r="E97" s="388"/>
      <c r="F97" s="388"/>
      <c r="G97" s="386"/>
      <c r="H97" s="173"/>
      <c r="I97">
        <f>C97/B95/12*1000</f>
        <v>10.802619546399999</v>
      </c>
    </row>
    <row r="98" spans="1:9" ht="14.25" hidden="1">
      <c r="A98" s="391" t="s">
        <v>84</v>
      </c>
      <c r="B98" s="116"/>
      <c r="C98" s="392">
        <f>C97/12</f>
        <v>342.93671933415044</v>
      </c>
      <c r="D98" s="116"/>
      <c r="E98" s="116"/>
      <c r="F98" s="116"/>
      <c r="G98" s="116"/>
      <c r="H98" s="353"/>
    </row>
    <row r="99" spans="1:9" ht="14.25">
      <c r="A99" s="393" t="s">
        <v>67</v>
      </c>
    </row>
    <row r="100" spans="1:9">
      <c r="A100" s="374" t="s">
        <v>541</v>
      </c>
    </row>
    <row r="101" spans="1:9" ht="14.25">
      <c r="A101" s="393"/>
    </row>
    <row r="102" spans="1:9">
      <c r="A102" s="394"/>
    </row>
  </sheetData>
  <sheetProtection password="CC0F" sheet="1" objects="1" scenarios="1"/>
  <mergeCells count="49">
    <mergeCell ref="A2:G2"/>
    <mergeCell ref="A3:G3"/>
    <mergeCell ref="A4:G4"/>
    <mergeCell ref="A5:G5"/>
    <mergeCell ref="A7:G7"/>
    <mergeCell ref="A8:G8"/>
    <mergeCell ref="A9:A11"/>
    <mergeCell ref="B9:B11"/>
    <mergeCell ref="D9:D11"/>
    <mergeCell ref="E9:E11"/>
    <mergeCell ref="G9:G11"/>
    <mergeCell ref="F9:F11"/>
    <mergeCell ref="H9:H10"/>
    <mergeCell ref="A12:G12"/>
    <mergeCell ref="A13:A14"/>
    <mergeCell ref="B13:B14"/>
    <mergeCell ref="C13:C14"/>
    <mergeCell ref="D13:D14"/>
    <mergeCell ref="E13:E14"/>
    <mergeCell ref="G13:G14"/>
    <mergeCell ref="H13:H14"/>
    <mergeCell ref="F13:F14"/>
    <mergeCell ref="C9:C11"/>
    <mergeCell ref="A21:G21"/>
    <mergeCell ref="B23:B24"/>
    <mergeCell ref="C23:C24"/>
    <mergeCell ref="D23:D24"/>
    <mergeCell ref="E23:E24"/>
    <mergeCell ref="G23:G24"/>
    <mergeCell ref="H23:H24"/>
    <mergeCell ref="D78:D79"/>
    <mergeCell ref="E78:E79"/>
    <mergeCell ref="G78:H79"/>
    <mergeCell ref="A29:G29"/>
    <mergeCell ref="A39:G39"/>
    <mergeCell ref="A43:G43"/>
    <mergeCell ref="A48:G48"/>
    <mergeCell ref="A62:G62"/>
    <mergeCell ref="A69:G69"/>
    <mergeCell ref="A74:G74"/>
    <mergeCell ref="A77:H77"/>
    <mergeCell ref="A78:A79"/>
    <mergeCell ref="B78:B79"/>
    <mergeCell ref="C78:C79"/>
    <mergeCell ref="A93:G93"/>
    <mergeCell ref="G80:H80"/>
    <mergeCell ref="A81:G81"/>
    <mergeCell ref="A83:G83"/>
    <mergeCell ref="A89:G8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2"/>
  <sheetViews>
    <sheetView topLeftCell="A26" workbookViewId="0">
      <selection activeCell="A7" sqref="A7:F36"/>
    </sheetView>
  </sheetViews>
  <sheetFormatPr defaultRowHeight="12.75"/>
  <cols>
    <col min="1" max="1" width="33.42578125" customWidth="1"/>
    <col min="2" max="2" width="10.7109375" customWidth="1"/>
    <col min="3" max="3" width="11.85546875" customWidth="1"/>
    <col min="4" max="4" width="11.42578125" customWidth="1"/>
    <col min="5" max="5" width="15.7109375" customWidth="1"/>
    <col min="6" max="6" width="0.42578125" customWidth="1"/>
    <col min="7" max="7" width="0.140625" customWidth="1"/>
  </cols>
  <sheetData>
    <row r="1" spans="1:10">
      <c r="A1" s="352"/>
      <c r="B1" s="352"/>
      <c r="C1" s="352"/>
      <c r="D1" s="352"/>
      <c r="E1" s="352"/>
      <c r="F1" s="352"/>
      <c r="G1" s="352"/>
    </row>
    <row r="2" spans="1:10" ht="15.75" hidden="1">
      <c r="A2" s="632" t="s">
        <v>434</v>
      </c>
      <c r="B2" s="632"/>
      <c r="C2" s="632"/>
      <c r="D2" s="632"/>
      <c r="E2" s="632"/>
      <c r="F2" s="632"/>
      <c r="G2" s="352"/>
    </row>
    <row r="3" spans="1:10" ht="15.75" hidden="1">
      <c r="A3" s="632" t="s">
        <v>480</v>
      </c>
      <c r="B3" s="632"/>
      <c r="C3" s="632"/>
      <c r="D3" s="632"/>
      <c r="E3" s="632"/>
      <c r="F3" s="632"/>
      <c r="G3" s="352"/>
    </row>
    <row r="4" spans="1:10" ht="15.75" hidden="1">
      <c r="A4" s="632" t="s">
        <v>481</v>
      </c>
      <c r="B4" s="632"/>
      <c r="C4" s="632"/>
      <c r="D4" s="632"/>
      <c r="E4" s="632"/>
      <c r="F4" s="632"/>
      <c r="G4" s="352"/>
    </row>
    <row r="5" spans="1:10" ht="15.75" hidden="1">
      <c r="A5" s="632" t="s">
        <v>482</v>
      </c>
      <c r="B5" s="632"/>
      <c r="C5" s="632"/>
      <c r="D5" s="632"/>
      <c r="E5" s="632"/>
      <c r="F5" s="632"/>
      <c r="G5" s="352"/>
    </row>
    <row r="6" spans="1:10" ht="15.75" hidden="1">
      <c r="A6" s="376"/>
      <c r="B6" s="352"/>
      <c r="C6" s="352"/>
      <c r="D6" s="352"/>
      <c r="E6" s="352"/>
      <c r="F6" s="352"/>
      <c r="G6" s="352"/>
    </row>
    <row r="7" spans="1:10" ht="30" customHeight="1">
      <c r="A7" s="633" t="s">
        <v>58</v>
      </c>
      <c r="B7" s="633"/>
      <c r="C7" s="633"/>
      <c r="D7" s="633"/>
      <c r="E7" s="633"/>
      <c r="F7" s="633"/>
      <c r="G7" s="352"/>
    </row>
    <row r="8" spans="1:10" ht="15.75">
      <c r="A8" s="632" t="s">
        <v>363</v>
      </c>
      <c r="B8" s="632"/>
      <c r="C8" s="632"/>
      <c r="D8" s="632"/>
      <c r="E8" s="632"/>
      <c r="F8" s="632"/>
      <c r="G8" s="352"/>
    </row>
    <row r="9" spans="1:10" ht="28.5" customHeight="1">
      <c r="A9" s="635" t="s">
        <v>484</v>
      </c>
      <c r="B9" s="635" t="s">
        <v>485</v>
      </c>
      <c r="C9" s="377" t="s">
        <v>486</v>
      </c>
      <c r="D9" s="635" t="s">
        <v>489</v>
      </c>
      <c r="E9" s="635" t="s">
        <v>82</v>
      </c>
      <c r="F9" s="635" t="s">
        <v>458</v>
      </c>
      <c r="G9" s="637"/>
    </row>
    <row r="10" spans="1:10" ht="25.5">
      <c r="A10" s="636"/>
      <c r="B10" s="636"/>
      <c r="C10" s="378" t="s">
        <v>487</v>
      </c>
      <c r="D10" s="636"/>
      <c r="E10" s="636"/>
      <c r="F10" s="636"/>
      <c r="G10" s="637"/>
    </row>
    <row r="11" spans="1:10" ht="38.25">
      <c r="A11" s="636"/>
      <c r="B11" s="636"/>
      <c r="C11" s="378" t="s">
        <v>488</v>
      </c>
      <c r="D11" s="636"/>
      <c r="E11" s="636"/>
      <c r="F11" s="636"/>
      <c r="G11" s="396"/>
    </row>
    <row r="12" spans="1:10" ht="14.25">
      <c r="A12" s="622" t="s">
        <v>490</v>
      </c>
      <c r="B12" s="623"/>
      <c r="C12" s="623"/>
      <c r="D12" s="623"/>
      <c r="E12" s="623"/>
      <c r="F12" s="624"/>
      <c r="G12" s="397"/>
      <c r="J12" s="354">
        <f>H19+H27+H37+H40+H46+H59+H66+H71+C74+C75</f>
        <v>-1E-3</v>
      </c>
    </row>
    <row r="13" spans="1:10" ht="30.75" customHeight="1">
      <c r="A13" s="379" t="s">
        <v>443</v>
      </c>
      <c r="B13" s="380">
        <f>об.полубл!F11</f>
        <v>0</v>
      </c>
      <c r="C13" s="206">
        <f>D13*B13*12/1000</f>
        <v>0</v>
      </c>
      <c r="D13" s="381">
        <v>0.17519999999999999</v>
      </c>
      <c r="E13" s="382">
        <f>D13*12</f>
        <v>2.1023999999999998</v>
      </c>
      <c r="F13" s="383"/>
      <c r="G13" s="398"/>
    </row>
    <row r="14" spans="1:10" ht="45" hidden="1" customHeight="1">
      <c r="A14" s="379"/>
      <c r="B14" s="385">
        <f t="shared" ref="B14:B19" si="0">B13</f>
        <v>0</v>
      </c>
      <c r="C14" s="206">
        <f t="shared" ref="C14:C19" si="1">D14*B14*12/1000</f>
        <v>0</v>
      </c>
      <c r="D14" s="381"/>
      <c r="E14" s="206">
        <f>D14*12</f>
        <v>0</v>
      </c>
      <c r="F14" s="383"/>
      <c r="G14" s="398"/>
    </row>
    <row r="15" spans="1:10" ht="31.5" customHeight="1">
      <c r="A15" s="379" t="s">
        <v>444</v>
      </c>
      <c r="B15" s="211">
        <f t="shared" si="0"/>
        <v>0</v>
      </c>
      <c r="C15" s="206">
        <f t="shared" si="1"/>
        <v>0</v>
      </c>
      <c r="D15" s="381">
        <v>1.499E-2</v>
      </c>
      <c r="E15" s="206">
        <f t="shared" ref="E15:E21" si="2">D15*12</f>
        <v>0.17987999999999998</v>
      </c>
      <c r="F15" s="383"/>
      <c r="G15" s="398"/>
    </row>
    <row r="16" spans="1:10" ht="24" customHeight="1">
      <c r="A16" s="379" t="s">
        <v>494</v>
      </c>
      <c r="B16" s="211">
        <f t="shared" si="0"/>
        <v>0</v>
      </c>
      <c r="C16" s="206">
        <f t="shared" si="1"/>
        <v>0</v>
      </c>
      <c r="D16" s="381">
        <v>4.5300000000000002E-3</v>
      </c>
      <c r="E16" s="206">
        <f t="shared" si="2"/>
        <v>5.4360000000000006E-2</v>
      </c>
      <c r="F16" s="383"/>
      <c r="G16" s="398"/>
    </row>
    <row r="17" spans="1:8" ht="30" hidden="1">
      <c r="A17" s="379" t="s">
        <v>495</v>
      </c>
      <c r="B17" s="211">
        <f t="shared" si="0"/>
        <v>0</v>
      </c>
      <c r="C17" s="206">
        <f t="shared" si="1"/>
        <v>0</v>
      </c>
      <c r="D17" s="381"/>
      <c r="E17" s="206">
        <f t="shared" si="2"/>
        <v>0</v>
      </c>
      <c r="F17" s="383"/>
      <c r="G17" s="398"/>
    </row>
    <row r="18" spans="1:8" ht="30" hidden="1">
      <c r="A18" s="379" t="s">
        <v>496</v>
      </c>
      <c r="B18" s="211">
        <f t="shared" si="0"/>
        <v>0</v>
      </c>
      <c r="C18" s="206">
        <f t="shared" si="1"/>
        <v>0</v>
      </c>
      <c r="D18" s="381"/>
      <c r="E18" s="206">
        <f t="shared" si="2"/>
        <v>0</v>
      </c>
      <c r="F18" s="383"/>
      <c r="G18" s="398"/>
    </row>
    <row r="19" spans="1:8" ht="60">
      <c r="A19" s="379" t="s">
        <v>497</v>
      </c>
      <c r="B19" s="211">
        <f t="shared" si="0"/>
        <v>0</v>
      </c>
      <c r="C19" s="206">
        <f t="shared" si="1"/>
        <v>0</v>
      </c>
      <c r="D19" s="381">
        <v>5.4000000000000003E-3</v>
      </c>
      <c r="E19" s="206">
        <f t="shared" si="2"/>
        <v>6.4799999999999996E-2</v>
      </c>
      <c r="F19" s="383"/>
      <c r="G19" s="398"/>
      <c r="H19" s="201">
        <f>SUM(C13:C19)</f>
        <v>0</v>
      </c>
    </row>
    <row r="20" spans="1:8" ht="14.25">
      <c r="A20" s="613" t="s">
        <v>498</v>
      </c>
      <c r="B20" s="613"/>
      <c r="C20" s="613"/>
      <c r="D20" s="613"/>
      <c r="E20" s="613"/>
      <c r="F20" s="613"/>
      <c r="G20" s="398"/>
    </row>
    <row r="21" spans="1:8" ht="30">
      <c r="A21" s="379" t="s">
        <v>167</v>
      </c>
      <c r="B21" s="211">
        <f>B19</f>
        <v>0</v>
      </c>
      <c r="C21" s="206">
        <f>D21*B21*12/1000</f>
        <v>0</v>
      </c>
      <c r="D21" s="381">
        <v>0.17910000000000001</v>
      </c>
      <c r="E21" s="206">
        <f t="shared" si="2"/>
        <v>2.1492</v>
      </c>
      <c r="F21" s="386"/>
      <c r="G21" s="398"/>
    </row>
    <row r="22" spans="1:8" ht="16.5" hidden="1" customHeight="1">
      <c r="A22" s="379" t="s">
        <v>500</v>
      </c>
      <c r="B22" s="619">
        <f>B21</f>
        <v>0</v>
      </c>
      <c r="C22" s="620">
        <f>D22*B22*12/1000</f>
        <v>0</v>
      </c>
      <c r="D22" s="615"/>
      <c r="E22" s="616">
        <f>D22*12</f>
        <v>0</v>
      </c>
      <c r="F22" s="613"/>
      <c r="G22" s="634"/>
    </row>
    <row r="23" spans="1:8" ht="13.5" hidden="1" customHeight="1">
      <c r="A23" s="379" t="s">
        <v>501</v>
      </c>
      <c r="B23" s="619"/>
      <c r="C23" s="620"/>
      <c r="D23" s="615"/>
      <c r="E23" s="617"/>
      <c r="F23" s="613"/>
      <c r="G23" s="634"/>
    </row>
    <row r="24" spans="1:8" ht="45" hidden="1" customHeight="1">
      <c r="A24" s="379" t="s">
        <v>502</v>
      </c>
      <c r="B24" s="211">
        <f>B21</f>
        <v>0</v>
      </c>
      <c r="C24" s="206">
        <f>D24*B24*12/1000</f>
        <v>0</v>
      </c>
      <c r="D24" s="381"/>
      <c r="E24" s="206">
        <f t="shared" ref="E24:E75" si="3">D24*12</f>
        <v>0</v>
      </c>
      <c r="F24" s="386"/>
      <c r="G24" s="398"/>
    </row>
    <row r="25" spans="1:8" ht="45" hidden="1" customHeight="1">
      <c r="A25" s="379" t="s">
        <v>503</v>
      </c>
      <c r="B25" s="211">
        <f>B24</f>
        <v>0</v>
      </c>
      <c r="C25" s="206">
        <f>D25*B25*12/1000</f>
        <v>0</v>
      </c>
      <c r="D25" s="381"/>
      <c r="E25" s="206">
        <f t="shared" si="3"/>
        <v>0</v>
      </c>
      <c r="F25" s="386"/>
      <c r="G25" s="398"/>
    </row>
    <row r="26" spans="1:8" ht="60">
      <c r="A26" s="379" t="s">
        <v>446</v>
      </c>
      <c r="B26" s="211">
        <f>B25</f>
        <v>0</v>
      </c>
      <c r="C26" s="206">
        <f>D26*B26*12/1000</f>
        <v>0</v>
      </c>
      <c r="D26" s="381">
        <v>3.005E-2</v>
      </c>
      <c r="E26" s="206">
        <f t="shared" si="3"/>
        <v>0.36060000000000003</v>
      </c>
      <c r="F26" s="386"/>
      <c r="G26" s="398"/>
    </row>
    <row r="27" spans="1:8" ht="30">
      <c r="A27" s="379" t="s">
        <v>507</v>
      </c>
      <c r="B27" s="211">
        <f>B26</f>
        <v>0</v>
      </c>
      <c r="C27" s="206">
        <f>D27*B27*12/1000</f>
        <v>0</v>
      </c>
      <c r="D27" s="381">
        <v>0.57079999999999997</v>
      </c>
      <c r="E27" s="206">
        <f t="shared" si="3"/>
        <v>6.8495999999999997</v>
      </c>
      <c r="F27" s="386"/>
      <c r="G27" s="398"/>
      <c r="H27" s="201">
        <f>SUM(C21:C27)</f>
        <v>0</v>
      </c>
    </row>
    <row r="28" spans="1:8" ht="14.25">
      <c r="A28" s="613" t="s">
        <v>508</v>
      </c>
      <c r="B28" s="613"/>
      <c r="C28" s="613"/>
      <c r="D28" s="613"/>
      <c r="E28" s="613"/>
      <c r="F28" s="613"/>
      <c r="G28" s="398"/>
    </row>
    <row r="29" spans="1:8" ht="31.5" hidden="1" customHeight="1">
      <c r="A29" s="379" t="s">
        <v>509</v>
      </c>
      <c r="B29" s="211">
        <f>B27</f>
        <v>0</v>
      </c>
      <c r="C29" s="206">
        <f>D29*B29*12/1000</f>
        <v>0</v>
      </c>
      <c r="D29" s="381"/>
      <c r="E29" s="206">
        <f t="shared" si="3"/>
        <v>0</v>
      </c>
      <c r="F29" s="211"/>
      <c r="G29" s="398"/>
    </row>
    <row r="30" spans="1:8" ht="40.5" customHeight="1">
      <c r="A30" s="379" t="s">
        <v>168</v>
      </c>
      <c r="B30" s="211">
        <f>B27</f>
        <v>0</v>
      </c>
      <c r="C30" s="206">
        <f t="shared" ref="C30:C41" si="4">D30*B30*12/1000</f>
        <v>0</v>
      </c>
      <c r="D30" s="381">
        <v>1.89E-2</v>
      </c>
      <c r="E30" s="206">
        <f t="shared" si="3"/>
        <v>0.2268</v>
      </c>
      <c r="F30" s="211"/>
      <c r="G30" s="398"/>
    </row>
    <row r="31" spans="1:8" ht="30" hidden="1" customHeight="1">
      <c r="A31" s="379" t="s">
        <v>511</v>
      </c>
      <c r="B31" s="211">
        <f t="shared" ref="B31:B37" si="5">B30</f>
        <v>0</v>
      </c>
      <c r="C31" s="206">
        <f t="shared" si="4"/>
        <v>0</v>
      </c>
      <c r="D31" s="381"/>
      <c r="E31" s="206">
        <f t="shared" si="3"/>
        <v>0</v>
      </c>
      <c r="F31" s="211"/>
      <c r="G31" s="398"/>
    </row>
    <row r="32" spans="1:8" ht="30" customHeight="1">
      <c r="A32" s="379" t="s">
        <v>512</v>
      </c>
      <c r="B32" s="211">
        <f t="shared" si="5"/>
        <v>0</v>
      </c>
      <c r="C32" s="206">
        <f t="shared" si="4"/>
        <v>0</v>
      </c>
      <c r="D32" s="381">
        <v>0.1106</v>
      </c>
      <c r="E32" s="206">
        <f t="shared" si="3"/>
        <v>1.3271999999999999</v>
      </c>
      <c r="F32" s="211"/>
      <c r="G32" s="398"/>
    </row>
    <row r="33" spans="1:8" ht="59.25" customHeight="1">
      <c r="A33" s="379" t="s">
        <v>513</v>
      </c>
      <c r="B33" s="211">
        <f t="shared" si="5"/>
        <v>0</v>
      </c>
      <c r="C33" s="206">
        <f>D33*B33*12/1000</f>
        <v>0</v>
      </c>
      <c r="D33" s="381">
        <v>5.3100000000000001E-2</v>
      </c>
      <c r="E33" s="206">
        <f t="shared" si="3"/>
        <v>0.63719999999999999</v>
      </c>
      <c r="F33" s="211"/>
      <c r="G33" s="398"/>
    </row>
    <row r="34" spans="1:8" ht="91.5" hidden="1" customHeight="1">
      <c r="A34" s="379" t="s">
        <v>514</v>
      </c>
      <c r="B34" s="211">
        <f t="shared" si="5"/>
        <v>0</v>
      </c>
      <c r="C34" s="206">
        <f t="shared" si="4"/>
        <v>0</v>
      </c>
      <c r="D34" s="381"/>
      <c r="E34" s="206">
        <f t="shared" si="3"/>
        <v>0</v>
      </c>
      <c r="F34" s="211"/>
      <c r="G34" s="398"/>
    </row>
    <row r="35" spans="1:8" ht="45.75" hidden="1" customHeight="1">
      <c r="A35" s="379" t="s">
        <v>515</v>
      </c>
      <c r="B35" s="211">
        <f t="shared" si="5"/>
        <v>0</v>
      </c>
      <c r="C35" s="206">
        <f t="shared" si="4"/>
        <v>0</v>
      </c>
      <c r="D35" s="381"/>
      <c r="E35" s="206">
        <f t="shared" si="3"/>
        <v>0</v>
      </c>
      <c r="F35" s="211"/>
      <c r="G35" s="398"/>
    </row>
    <row r="36" spans="1:8" ht="62.25" customHeight="1">
      <c r="A36" s="379" t="s">
        <v>448</v>
      </c>
      <c r="B36" s="211">
        <f t="shared" si="5"/>
        <v>0</v>
      </c>
      <c r="C36" s="206">
        <f>D36*B36*12/1000</f>
        <v>0</v>
      </c>
      <c r="D36" s="381">
        <v>3.005E-2</v>
      </c>
      <c r="E36" s="206">
        <f t="shared" si="3"/>
        <v>0.36060000000000003</v>
      </c>
      <c r="F36" s="211"/>
      <c r="G36" s="398"/>
    </row>
    <row r="37" spans="1:8" ht="28.5" customHeight="1">
      <c r="A37" s="379" t="s">
        <v>507</v>
      </c>
      <c r="B37" s="211">
        <f t="shared" si="5"/>
        <v>0</v>
      </c>
      <c r="C37" s="206">
        <f t="shared" si="4"/>
        <v>0</v>
      </c>
      <c r="D37" s="381">
        <v>0.34460000000000002</v>
      </c>
      <c r="E37" s="206">
        <f t="shared" si="3"/>
        <v>4.1352000000000002</v>
      </c>
      <c r="F37" s="211"/>
      <c r="G37" s="398"/>
      <c r="H37" s="201">
        <f>SUM(C30:C37)</f>
        <v>0</v>
      </c>
    </row>
    <row r="38" spans="1:8" ht="14.25">
      <c r="A38" s="613" t="s">
        <v>518</v>
      </c>
      <c r="B38" s="613"/>
      <c r="C38" s="613"/>
      <c r="D38" s="613"/>
      <c r="E38" s="613"/>
      <c r="F38" s="613"/>
      <c r="G38" s="398"/>
    </row>
    <row r="39" spans="1:8" ht="43.5" customHeight="1">
      <c r="A39" s="379" t="s">
        <v>169</v>
      </c>
      <c r="B39" s="211">
        <f>B37</f>
        <v>0</v>
      </c>
      <c r="C39" s="206">
        <f t="shared" si="4"/>
        <v>0</v>
      </c>
      <c r="D39" s="381">
        <v>2.7300000000000001E-2</v>
      </c>
      <c r="E39" s="206">
        <f t="shared" si="3"/>
        <v>0.3276</v>
      </c>
      <c r="F39" s="386"/>
      <c r="G39" s="398"/>
    </row>
    <row r="40" spans="1:8" ht="43.5" customHeight="1">
      <c r="A40" s="379" t="s">
        <v>520</v>
      </c>
      <c r="B40" s="211">
        <f>B39</f>
        <v>0</v>
      </c>
      <c r="C40" s="206">
        <f t="shared" si="4"/>
        <v>0</v>
      </c>
      <c r="D40" s="381">
        <v>0</v>
      </c>
      <c r="E40" s="206">
        <f t="shared" si="3"/>
        <v>0</v>
      </c>
      <c r="F40" s="386"/>
      <c r="G40" s="398"/>
      <c r="H40" s="201">
        <f>SUM(C39:C40)</f>
        <v>0</v>
      </c>
    </row>
    <row r="41" spans="1:8" ht="60" hidden="1">
      <c r="A41" s="379" t="s">
        <v>523</v>
      </c>
      <c r="B41" s="211">
        <f>B40</f>
        <v>0</v>
      </c>
      <c r="C41" s="206">
        <f t="shared" si="4"/>
        <v>0</v>
      </c>
      <c r="D41" s="381"/>
      <c r="E41" s="206">
        <f t="shared" si="3"/>
        <v>0</v>
      </c>
      <c r="F41" s="386"/>
      <c r="G41" s="398"/>
    </row>
    <row r="42" spans="1:8" ht="14.25">
      <c r="A42" s="613" t="s">
        <v>524</v>
      </c>
      <c r="B42" s="613"/>
      <c r="C42" s="613"/>
      <c r="D42" s="613"/>
      <c r="E42" s="613"/>
      <c r="F42" s="613"/>
      <c r="G42" s="398"/>
    </row>
    <row r="43" spans="1:8" ht="44.25" customHeight="1">
      <c r="A43" s="379" t="s">
        <v>321</v>
      </c>
      <c r="B43" s="211">
        <f>B41</f>
        <v>0</v>
      </c>
      <c r="C43" s="206">
        <f>D43*B43*12/1000</f>
        <v>0</v>
      </c>
      <c r="D43" s="381">
        <v>0</v>
      </c>
      <c r="E43" s="206">
        <f t="shared" si="3"/>
        <v>0</v>
      </c>
      <c r="F43" s="386"/>
      <c r="G43" s="398"/>
    </row>
    <row r="44" spans="1:8" ht="30.75" hidden="1" customHeight="1">
      <c r="A44" s="379" t="s">
        <v>526</v>
      </c>
      <c r="B44" s="211">
        <f>B43</f>
        <v>0</v>
      </c>
      <c r="C44" s="206">
        <f>D44*B44*12/1000</f>
        <v>0</v>
      </c>
      <c r="D44" s="381"/>
      <c r="E44" s="206">
        <f t="shared" si="3"/>
        <v>0</v>
      </c>
      <c r="F44" s="386"/>
      <c r="G44" s="398"/>
    </row>
    <row r="45" spans="1:8" ht="27" customHeight="1">
      <c r="A45" s="379" t="s">
        <v>170</v>
      </c>
      <c r="B45" s="211">
        <f>B44</f>
        <v>0</v>
      </c>
      <c r="C45" s="206">
        <f>D45*B45*12/1000</f>
        <v>0</v>
      </c>
      <c r="D45" s="381">
        <v>3.0200000000000001E-2</v>
      </c>
      <c r="E45" s="206">
        <f t="shared" si="3"/>
        <v>0.3624</v>
      </c>
      <c r="F45" s="386"/>
      <c r="G45" s="398"/>
    </row>
    <row r="46" spans="1:8" ht="18" customHeight="1">
      <c r="A46" s="379" t="s">
        <v>171</v>
      </c>
      <c r="B46" s="211">
        <f>B45</f>
        <v>0</v>
      </c>
      <c r="C46" s="206">
        <f>D46*B46*12/1000</f>
        <v>0</v>
      </c>
      <c r="D46" s="381">
        <v>0.108</v>
      </c>
      <c r="E46" s="206">
        <f t="shared" si="3"/>
        <v>1.296</v>
      </c>
      <c r="F46" s="386"/>
      <c r="G46" s="398"/>
      <c r="H46" s="201">
        <f>SUM(C43:C46)</f>
        <v>0</v>
      </c>
    </row>
    <row r="47" spans="1:8" ht="14.25">
      <c r="A47" s="613" t="s">
        <v>531</v>
      </c>
      <c r="B47" s="613"/>
      <c r="C47" s="613"/>
      <c r="D47" s="613"/>
      <c r="E47" s="613"/>
      <c r="F47" s="613"/>
      <c r="G47" s="398"/>
    </row>
    <row r="48" spans="1:8" ht="18.75" customHeight="1">
      <c r="A48" s="379" t="s">
        <v>322</v>
      </c>
      <c r="B48" s="211">
        <f>B46</f>
        <v>0</v>
      </c>
      <c r="C48" s="206">
        <f t="shared" ref="C48:C67" si="6">D48*B48*12/1000</f>
        <v>0</v>
      </c>
      <c r="D48" s="381">
        <v>0.15809999999999999</v>
      </c>
      <c r="E48" s="206">
        <f t="shared" si="3"/>
        <v>1.8971999999999998</v>
      </c>
      <c r="F48" s="386"/>
      <c r="G48" s="398"/>
    </row>
    <row r="49" spans="1:8" ht="45.75" customHeight="1">
      <c r="A49" s="379" t="s">
        <v>323</v>
      </c>
      <c r="B49" s="211">
        <f t="shared" ref="B49:B60" si="7">B48</f>
        <v>0</v>
      </c>
      <c r="C49" s="206">
        <f t="shared" si="6"/>
        <v>0</v>
      </c>
      <c r="D49" s="381">
        <v>1.5800000000000002E-2</v>
      </c>
      <c r="E49" s="206">
        <f t="shared" si="3"/>
        <v>0.18960000000000002</v>
      </c>
      <c r="F49" s="386"/>
      <c r="G49" s="398"/>
    </row>
    <row r="50" spans="1:8" ht="18" hidden="1" customHeight="1">
      <c r="A50" s="379" t="s">
        <v>534</v>
      </c>
      <c r="B50" s="211">
        <f t="shared" si="7"/>
        <v>0</v>
      </c>
      <c r="C50" s="206">
        <f t="shared" si="6"/>
        <v>0</v>
      </c>
      <c r="D50" s="381"/>
      <c r="E50" s="206">
        <f t="shared" si="3"/>
        <v>0</v>
      </c>
      <c r="F50" s="386"/>
      <c r="G50" s="398"/>
    </row>
    <row r="51" spans="1:8" ht="30" hidden="1" customHeight="1">
      <c r="A51" s="379" t="s">
        <v>535</v>
      </c>
      <c r="B51" s="211">
        <f t="shared" si="7"/>
        <v>0</v>
      </c>
      <c r="C51" s="206">
        <f t="shared" si="6"/>
        <v>0</v>
      </c>
      <c r="D51" s="381"/>
      <c r="E51" s="206">
        <f t="shared" si="3"/>
        <v>0</v>
      </c>
      <c r="F51" s="386"/>
      <c r="G51" s="398"/>
    </row>
    <row r="52" spans="1:8" ht="59.25" hidden="1" customHeight="1">
      <c r="A52" s="379" t="s">
        <v>536</v>
      </c>
      <c r="B52" s="211">
        <f t="shared" si="7"/>
        <v>0</v>
      </c>
      <c r="C52" s="206">
        <f t="shared" si="6"/>
        <v>0</v>
      </c>
      <c r="D52" s="381"/>
      <c r="E52" s="206">
        <f t="shared" si="3"/>
        <v>0</v>
      </c>
      <c r="F52" s="386"/>
      <c r="G52" s="398"/>
    </row>
    <row r="53" spans="1:8" ht="30" customHeight="1">
      <c r="A53" s="379" t="s">
        <v>324</v>
      </c>
      <c r="B53" s="211">
        <f t="shared" si="7"/>
        <v>0</v>
      </c>
      <c r="C53" s="206">
        <f>D53*B53*12/1000-0.001</f>
        <v>-1E-3</v>
      </c>
      <c r="D53" s="381">
        <v>1.6E-2</v>
      </c>
      <c r="E53" s="206">
        <f t="shared" si="3"/>
        <v>0.192</v>
      </c>
      <c r="F53" s="386"/>
      <c r="G53" s="398"/>
    </row>
    <row r="54" spans="1:8" ht="30.75" customHeight="1">
      <c r="A54" s="379" t="s">
        <v>538</v>
      </c>
      <c r="B54" s="211">
        <f t="shared" si="7"/>
        <v>0</v>
      </c>
      <c r="C54" s="206">
        <f t="shared" si="6"/>
        <v>0</v>
      </c>
      <c r="D54" s="381">
        <v>6.4000000000000001E-2</v>
      </c>
      <c r="E54" s="206">
        <f t="shared" si="3"/>
        <v>0.76800000000000002</v>
      </c>
      <c r="F54" s="386"/>
      <c r="G54" s="398"/>
    </row>
    <row r="55" spans="1:8" ht="29.25" hidden="1" customHeight="1">
      <c r="A55" s="379" t="s">
        <v>539</v>
      </c>
      <c r="B55" s="211">
        <f t="shared" si="7"/>
        <v>0</v>
      </c>
      <c r="C55" s="206">
        <f t="shared" si="6"/>
        <v>0</v>
      </c>
      <c r="D55" s="381"/>
      <c r="E55" s="206">
        <f t="shared" si="3"/>
        <v>0</v>
      </c>
      <c r="F55" s="386"/>
      <c r="G55" s="398"/>
    </row>
    <row r="56" spans="1:8" ht="30.75" customHeight="1">
      <c r="A56" s="379" t="s">
        <v>450</v>
      </c>
      <c r="B56" s="211">
        <f t="shared" si="7"/>
        <v>0</v>
      </c>
      <c r="C56" s="206">
        <f t="shared" si="6"/>
        <v>0</v>
      </c>
      <c r="D56" s="381">
        <v>1.95E-2</v>
      </c>
      <c r="E56" s="206">
        <f t="shared" si="3"/>
        <v>0.23399999999999999</v>
      </c>
      <c r="F56" s="386"/>
      <c r="G56" s="398"/>
    </row>
    <row r="57" spans="1:8" ht="45.75" hidden="1" customHeight="1">
      <c r="A57" s="379" t="s">
        <v>1</v>
      </c>
      <c r="B57" s="211">
        <f t="shared" si="7"/>
        <v>0</v>
      </c>
      <c r="C57" s="206">
        <f t="shared" si="6"/>
        <v>0</v>
      </c>
      <c r="D57" s="381"/>
      <c r="E57" s="206">
        <f t="shared" si="3"/>
        <v>0</v>
      </c>
      <c r="F57" s="386"/>
      <c r="G57" s="398"/>
    </row>
    <row r="58" spans="1:8" ht="31.5" hidden="1" customHeight="1">
      <c r="A58" s="379" t="s">
        <v>2</v>
      </c>
      <c r="B58" s="211">
        <f t="shared" si="7"/>
        <v>0</v>
      </c>
      <c r="C58" s="206">
        <f t="shared" si="6"/>
        <v>0</v>
      </c>
      <c r="D58" s="381"/>
      <c r="E58" s="206">
        <f t="shared" si="3"/>
        <v>0</v>
      </c>
      <c r="F58" s="386"/>
      <c r="G58" s="398"/>
    </row>
    <row r="59" spans="1:8" ht="31.5" customHeight="1">
      <c r="A59" s="379" t="s">
        <v>353</v>
      </c>
      <c r="B59" s="211">
        <f t="shared" si="7"/>
        <v>0</v>
      </c>
      <c r="C59" s="206">
        <f t="shared" si="6"/>
        <v>0</v>
      </c>
      <c r="D59" s="381">
        <v>2.41E-2</v>
      </c>
      <c r="E59" s="206">
        <f t="shared" si="3"/>
        <v>0.28920000000000001</v>
      </c>
      <c r="F59" s="386"/>
      <c r="G59" s="398"/>
      <c r="H59" s="201">
        <f>C48+C49+C53+C54+C56+C59</f>
        <v>-1E-3</v>
      </c>
    </row>
    <row r="60" spans="1:8" ht="34.5" hidden="1" customHeight="1">
      <c r="A60" s="379" t="s">
        <v>4</v>
      </c>
      <c r="B60" s="211">
        <f t="shared" si="7"/>
        <v>0</v>
      </c>
      <c r="C60" s="206">
        <f t="shared" si="6"/>
        <v>0</v>
      </c>
      <c r="D60" s="381"/>
      <c r="E60" s="206">
        <f t="shared" si="3"/>
        <v>0</v>
      </c>
      <c r="F60" s="386"/>
      <c r="G60" s="398"/>
      <c r="H60" s="201">
        <f>SUM(C48:C60)</f>
        <v>-1E-3</v>
      </c>
    </row>
    <row r="61" spans="1:8" ht="18.75" customHeight="1">
      <c r="A61" s="613" t="s">
        <v>5</v>
      </c>
      <c r="B61" s="613"/>
      <c r="C61" s="613"/>
      <c r="D61" s="613"/>
      <c r="E61" s="613"/>
      <c r="F61" s="613"/>
      <c r="G61" s="398"/>
    </row>
    <row r="62" spans="1:8" ht="30" customHeight="1">
      <c r="A62" s="379" t="s">
        <v>172</v>
      </c>
      <c r="B62" s="211">
        <f>B60</f>
        <v>0</v>
      </c>
      <c r="C62" s="206">
        <f t="shared" si="6"/>
        <v>0</v>
      </c>
      <c r="D62" s="381">
        <v>0.33589999999999998</v>
      </c>
      <c r="E62" s="206">
        <f t="shared" si="3"/>
        <v>4.0307999999999993</v>
      </c>
      <c r="F62" s="211"/>
      <c r="G62" s="398"/>
    </row>
    <row r="63" spans="1:8" ht="30.75" hidden="1" customHeight="1">
      <c r="A63" s="379" t="s">
        <v>7</v>
      </c>
      <c r="B63" s="211">
        <f>B62</f>
        <v>0</v>
      </c>
      <c r="C63" s="206">
        <f t="shared" si="6"/>
        <v>0</v>
      </c>
      <c r="D63" s="381"/>
      <c r="E63" s="206">
        <f t="shared" si="3"/>
        <v>0</v>
      </c>
      <c r="F63" s="211"/>
      <c r="G63" s="398"/>
    </row>
    <row r="64" spans="1:8" ht="30.75" hidden="1" customHeight="1">
      <c r="A64" s="379" t="s">
        <v>8</v>
      </c>
      <c r="B64" s="211">
        <f>B63</f>
        <v>0</v>
      </c>
      <c r="C64" s="206">
        <f t="shared" si="6"/>
        <v>0</v>
      </c>
      <c r="D64" s="211"/>
      <c r="E64" s="206">
        <f t="shared" si="3"/>
        <v>0</v>
      </c>
      <c r="F64" s="211"/>
      <c r="G64" s="398"/>
    </row>
    <row r="65" spans="1:12" ht="30.75" customHeight="1">
      <c r="A65" s="379" t="s">
        <v>35</v>
      </c>
      <c r="B65" s="211">
        <f>B64</f>
        <v>0</v>
      </c>
      <c r="C65" s="206">
        <f t="shared" si="6"/>
        <v>0</v>
      </c>
      <c r="D65" s="381">
        <v>0.159</v>
      </c>
      <c r="E65" s="206">
        <f t="shared" si="3"/>
        <v>1.9079999999999999</v>
      </c>
      <c r="F65" s="211"/>
      <c r="G65" s="398"/>
    </row>
    <row r="66" spans="1:12" ht="45" customHeight="1">
      <c r="A66" s="379" t="s">
        <v>173</v>
      </c>
      <c r="B66" s="211">
        <f>B65</f>
        <v>0</v>
      </c>
      <c r="C66" s="206">
        <f t="shared" si="6"/>
        <v>0</v>
      </c>
      <c r="D66" s="381">
        <f>0.0361</f>
        <v>3.61E-2</v>
      </c>
      <c r="E66" s="206">
        <f t="shared" si="3"/>
        <v>0.43320000000000003</v>
      </c>
      <c r="F66" s="211"/>
      <c r="G66" s="398"/>
      <c r="H66" s="201">
        <f>SUM(C62:C66)</f>
        <v>0</v>
      </c>
    </row>
    <row r="67" spans="1:12" ht="29.25" hidden="1" customHeight="1">
      <c r="A67" s="379" t="s">
        <v>11</v>
      </c>
      <c r="B67" s="211">
        <f>B66</f>
        <v>0</v>
      </c>
      <c r="C67" s="206">
        <f t="shared" si="6"/>
        <v>0</v>
      </c>
      <c r="D67" s="211"/>
      <c r="E67" s="206">
        <f t="shared" si="3"/>
        <v>0</v>
      </c>
      <c r="F67" s="211"/>
      <c r="G67" s="398"/>
    </row>
    <row r="68" spans="1:12" ht="14.25">
      <c r="A68" s="613" t="s">
        <v>12</v>
      </c>
      <c r="B68" s="613"/>
      <c r="C68" s="613"/>
      <c r="D68" s="613"/>
      <c r="E68" s="613"/>
      <c r="F68" s="613"/>
      <c r="G68" s="398"/>
    </row>
    <row r="69" spans="1:12" ht="30.75" hidden="1" customHeight="1">
      <c r="A69" s="379" t="s">
        <v>13</v>
      </c>
      <c r="B69" s="211">
        <f>B67</f>
        <v>0</v>
      </c>
      <c r="C69" s="206">
        <f>D69*B69*12/1000</f>
        <v>0</v>
      </c>
      <c r="D69" s="381"/>
      <c r="E69" s="206">
        <f t="shared" si="3"/>
        <v>0</v>
      </c>
      <c r="F69" s="386"/>
      <c r="G69" s="398"/>
    </row>
    <row r="70" spans="1:12" ht="18" customHeight="1">
      <c r="A70" s="379" t="s">
        <v>14</v>
      </c>
      <c r="B70" s="211">
        <f>B69</f>
        <v>0</v>
      </c>
      <c r="C70" s="206">
        <f>D70*B70*12/1000</f>
        <v>0</v>
      </c>
      <c r="D70" s="381">
        <v>2.2000000000000001E-3</v>
      </c>
      <c r="E70" s="206">
        <f t="shared" si="3"/>
        <v>2.64E-2</v>
      </c>
      <c r="F70" s="386"/>
      <c r="G70" s="398"/>
    </row>
    <row r="71" spans="1:12" ht="33" customHeight="1">
      <c r="A71" s="379" t="s">
        <v>15</v>
      </c>
      <c r="B71" s="211">
        <f>B70</f>
        <v>0</v>
      </c>
      <c r="C71" s="206">
        <f>D71*B71*12/1000</f>
        <v>0</v>
      </c>
      <c r="D71" s="381">
        <v>1.7000000000000001E-2</v>
      </c>
      <c r="E71" s="206">
        <f t="shared" si="3"/>
        <v>0.20400000000000001</v>
      </c>
      <c r="F71" s="386"/>
      <c r="G71" s="398"/>
      <c r="H71" s="201">
        <f>SUM(C70:C71)</f>
        <v>0</v>
      </c>
    </row>
    <row r="72" spans="1:12" ht="15" hidden="1">
      <c r="A72" s="379" t="s">
        <v>16</v>
      </c>
      <c r="B72" s="211">
        <f>B71</f>
        <v>0</v>
      </c>
      <c r="C72" s="206">
        <f>D72*B72*12/1000</f>
        <v>0</v>
      </c>
      <c r="D72" s="381"/>
      <c r="E72" s="206">
        <f t="shared" si="3"/>
        <v>0</v>
      </c>
      <c r="F72" s="386"/>
      <c r="G72" s="398"/>
    </row>
    <row r="73" spans="1:12" ht="14.25">
      <c r="A73" s="613" t="s">
        <v>17</v>
      </c>
      <c r="B73" s="613"/>
      <c r="C73" s="613"/>
      <c r="D73" s="613"/>
      <c r="E73" s="613"/>
      <c r="F73" s="613"/>
      <c r="G73" s="398"/>
    </row>
    <row r="74" spans="1:12" ht="45">
      <c r="A74" s="379" t="s">
        <v>19</v>
      </c>
      <c r="B74" s="211">
        <f>B59</f>
        <v>0</v>
      </c>
      <c r="C74" s="206">
        <f>D74*B74*12/1000</f>
        <v>0</v>
      </c>
      <c r="D74" s="211">
        <v>0.16700000000000001</v>
      </c>
      <c r="E74" s="206">
        <f t="shared" si="3"/>
        <v>2.004</v>
      </c>
      <c r="F74" s="386"/>
      <c r="G74" s="398"/>
    </row>
    <row r="75" spans="1:12" ht="15">
      <c r="A75" s="379" t="s">
        <v>41</v>
      </c>
      <c r="B75" s="211">
        <f>B59</f>
        <v>0</v>
      </c>
      <c r="C75" s="206">
        <f>D75*B75*12/1000</f>
        <v>0</v>
      </c>
      <c r="D75" s="211">
        <v>0.48299999999999998</v>
      </c>
      <c r="E75" s="206">
        <f t="shared" si="3"/>
        <v>5.7959999999999994</v>
      </c>
      <c r="F75" s="386"/>
      <c r="G75" s="398"/>
    </row>
    <row r="76" spans="1:12" ht="14.25" hidden="1">
      <c r="A76" s="613" t="s">
        <v>21</v>
      </c>
      <c r="B76" s="613"/>
      <c r="C76" s="613"/>
      <c r="D76" s="613"/>
      <c r="E76" s="613"/>
      <c r="F76" s="613"/>
      <c r="G76" s="613"/>
    </row>
    <row r="77" spans="1:12" ht="12.75" hidden="1" customHeight="1">
      <c r="A77" s="618" t="s">
        <v>22</v>
      </c>
      <c r="B77" s="619">
        <f>B72</f>
        <v>0</v>
      </c>
      <c r="C77" s="616">
        <f>D77*B77*12/1000</f>
        <v>0</v>
      </c>
      <c r="D77" s="615">
        <v>0</v>
      </c>
      <c r="E77" s="616">
        <f>D77*12</f>
        <v>0</v>
      </c>
      <c r="F77" s="613"/>
      <c r="G77" s="613"/>
    </row>
    <row r="78" spans="1:12" ht="16.5" hidden="1" customHeight="1">
      <c r="A78" s="618"/>
      <c r="B78" s="619"/>
      <c r="C78" s="617"/>
      <c r="D78" s="615"/>
      <c r="E78" s="617"/>
      <c r="F78" s="613"/>
      <c r="G78" s="613"/>
    </row>
    <row r="79" spans="1:12" ht="32.25" hidden="1" customHeight="1">
      <c r="A79" s="379" t="s">
        <v>23</v>
      </c>
      <c r="B79" s="211">
        <f>B77</f>
        <v>0</v>
      </c>
      <c r="C79" s="206">
        <f>D79*B79*12/1000</f>
        <v>0</v>
      </c>
      <c r="D79" s="381">
        <v>0</v>
      </c>
      <c r="E79" s="206">
        <f>D79*12</f>
        <v>0</v>
      </c>
      <c r="F79" s="613"/>
      <c r="G79" s="613"/>
      <c r="H79" s="201">
        <f>SUM(C77:C79)</f>
        <v>0</v>
      </c>
      <c r="L79" s="355">
        <f>H79+H81+H91+C93</f>
        <v>0</v>
      </c>
    </row>
    <row r="80" spans="1:12" ht="14.25" hidden="1">
      <c r="A80" s="613" t="s">
        <v>45</v>
      </c>
      <c r="B80" s="613"/>
      <c r="C80" s="613"/>
      <c r="D80" s="613"/>
      <c r="E80" s="613"/>
      <c r="F80" s="613"/>
      <c r="G80" s="398"/>
    </row>
    <row r="81" spans="1:12" ht="33.75" hidden="1" customHeight="1">
      <c r="A81" s="379" t="s">
        <v>46</v>
      </c>
      <c r="B81" s="211">
        <f>B79</f>
        <v>0</v>
      </c>
      <c r="C81" s="206">
        <f>D81*B81*12/1000</f>
        <v>0</v>
      </c>
      <c r="D81" s="381">
        <v>0</v>
      </c>
      <c r="E81" s="206">
        <f>D81*12</f>
        <v>0</v>
      </c>
      <c r="F81" s="386"/>
      <c r="G81" s="398"/>
      <c r="H81" s="201">
        <f>SUM(C81:C81)</f>
        <v>0</v>
      </c>
    </row>
    <row r="82" spans="1:12" ht="14.25">
      <c r="A82" s="613" t="s">
        <v>49</v>
      </c>
      <c r="B82" s="613"/>
      <c r="C82" s="613"/>
      <c r="D82" s="613"/>
      <c r="E82" s="613"/>
      <c r="F82" s="613"/>
      <c r="G82" s="398"/>
    </row>
    <row r="83" spans="1:12" ht="49.5" customHeight="1">
      <c r="A83" s="379" t="s">
        <v>50</v>
      </c>
      <c r="B83" s="211">
        <f>B81</f>
        <v>0</v>
      </c>
      <c r="C83" s="206">
        <f>D83*B83*12/1000</f>
        <v>0</v>
      </c>
      <c r="D83" s="381">
        <f>0.07*0.489*1.141</f>
        <v>3.9056430000000003E-2</v>
      </c>
      <c r="E83" s="206">
        <f t="shared" ref="E83:E91" si="8">D83*12</f>
        <v>0.46867716000000004</v>
      </c>
      <c r="F83" s="386"/>
      <c r="G83" s="398"/>
    </row>
    <row r="84" spans="1:12" ht="49.5" customHeight="1">
      <c r="A84" s="379" t="s">
        <v>51</v>
      </c>
      <c r="B84" s="211">
        <f>B83</f>
        <v>0</v>
      </c>
      <c r="C84" s="206">
        <f>D84*B84*12/1000</f>
        <v>0</v>
      </c>
      <c r="D84" s="381">
        <f>0.05*0.489*1.141</f>
        <v>2.7897450000000001E-2</v>
      </c>
      <c r="E84" s="206">
        <f t="shared" si="8"/>
        <v>0.33476939999999999</v>
      </c>
      <c r="F84" s="386"/>
      <c r="G84" s="398"/>
    </row>
    <row r="85" spans="1:12" ht="33" customHeight="1">
      <c r="A85" s="379" t="s">
        <v>52</v>
      </c>
      <c r="B85" s="211">
        <f>B84</f>
        <v>0</v>
      </c>
      <c r="C85" s="206">
        <f>D85*B85*12/1000</f>
        <v>0</v>
      </c>
      <c r="D85" s="381">
        <f>0.28*0.489*1.141</f>
        <v>0.15622572000000001</v>
      </c>
      <c r="E85" s="206">
        <f t="shared" si="8"/>
        <v>1.8747086400000001</v>
      </c>
      <c r="F85" s="386"/>
      <c r="G85" s="398"/>
    </row>
    <row r="86" spans="1:12" ht="47.25" customHeight="1">
      <c r="A86" s="379" t="s">
        <v>342</v>
      </c>
      <c r="B86" s="211">
        <f>B85</f>
        <v>0</v>
      </c>
      <c r="C86" s="206">
        <f>D86*B86*12/1000</f>
        <v>0</v>
      </c>
      <c r="D86" s="381">
        <f>0.015*0.489*1.141</f>
        <v>8.3692349999999992E-3</v>
      </c>
      <c r="E86" s="206">
        <f t="shared" si="8"/>
        <v>0.10043081999999999</v>
      </c>
      <c r="F86" s="386"/>
      <c r="G86" s="398"/>
    </row>
    <row r="87" spans="1:12" ht="44.25" customHeight="1">
      <c r="A87" s="379" t="s">
        <v>54</v>
      </c>
      <c r="B87" s="211">
        <f>B86</f>
        <v>0</v>
      </c>
      <c r="C87" s="206">
        <f>D87*B87*12/1000</f>
        <v>0</v>
      </c>
      <c r="D87" s="381">
        <f>0.04*0.489*1.141</f>
        <v>2.2317960000000001E-2</v>
      </c>
      <c r="E87" s="206">
        <f t="shared" si="8"/>
        <v>0.26781552000000003</v>
      </c>
      <c r="F87" s="386"/>
      <c r="G87" s="398"/>
      <c r="H87" s="201">
        <f>SUM(C83:C87)</f>
        <v>0</v>
      </c>
      <c r="L87" s="359">
        <f>H87</f>
        <v>0</v>
      </c>
    </row>
    <row r="88" spans="1:12" ht="14.25">
      <c r="A88" s="613" t="s">
        <v>55</v>
      </c>
      <c r="B88" s="613"/>
      <c r="C88" s="613"/>
      <c r="D88" s="613"/>
      <c r="E88" s="613"/>
      <c r="F88" s="613"/>
      <c r="G88" s="398"/>
    </row>
    <row r="89" spans="1:12" ht="31.5" customHeight="1">
      <c r="A89" s="379" t="s">
        <v>43</v>
      </c>
      <c r="B89" s="211">
        <f>B87</f>
        <v>0</v>
      </c>
      <c r="C89" s="206">
        <f>D89*B89*12/1000</f>
        <v>0</v>
      </c>
      <c r="D89" s="381">
        <f>0.15/2</f>
        <v>7.4999999999999997E-2</v>
      </c>
      <c r="E89" s="206">
        <f t="shared" si="8"/>
        <v>0.89999999999999991</v>
      </c>
      <c r="F89" s="386"/>
      <c r="G89" s="398"/>
      <c r="L89" s="355">
        <f>C89+C90+C91</f>
        <v>0</v>
      </c>
    </row>
    <row r="90" spans="1:12" ht="32.25" customHeight="1">
      <c r="A90" s="379" t="s">
        <v>57</v>
      </c>
      <c r="B90" s="211">
        <f>B89</f>
        <v>0</v>
      </c>
      <c r="C90" s="206">
        <f>D90*B90*12/1000</f>
        <v>0</v>
      </c>
      <c r="D90" s="381">
        <f>0.697/2</f>
        <v>0.34849999999999998</v>
      </c>
      <c r="E90" s="206">
        <f t="shared" si="8"/>
        <v>4.1819999999999995</v>
      </c>
      <c r="F90" s="386"/>
      <c r="G90" s="398"/>
    </row>
    <row r="91" spans="1:12" ht="45" customHeight="1">
      <c r="A91" s="379" t="s">
        <v>69</v>
      </c>
      <c r="B91" s="211">
        <f>B90</f>
        <v>0</v>
      </c>
      <c r="C91" s="206">
        <f>D91*B91*12/1000</f>
        <v>0</v>
      </c>
      <c r="D91" s="381">
        <f>0.362/2</f>
        <v>0.18099999999999999</v>
      </c>
      <c r="E91" s="206">
        <f t="shared" si="8"/>
        <v>2.1719999999999997</v>
      </c>
      <c r="F91" s="386"/>
      <c r="G91" s="398"/>
      <c r="H91" s="201">
        <f>SUM(C89:C91)</f>
        <v>0</v>
      </c>
    </row>
    <row r="92" spans="1:12" ht="14.25" hidden="1">
      <c r="A92" s="613" t="s">
        <v>59</v>
      </c>
      <c r="B92" s="613"/>
      <c r="C92" s="613"/>
      <c r="D92" s="613"/>
      <c r="E92" s="613"/>
      <c r="F92" s="613"/>
      <c r="G92" s="398"/>
    </row>
    <row r="93" spans="1:12" ht="15" hidden="1">
      <c r="A93" s="379" t="s">
        <v>61</v>
      </c>
      <c r="B93" s="386">
        <f>B91</f>
        <v>0</v>
      </c>
      <c r="C93" s="206">
        <f>D93*B93*12/1000</f>
        <v>0</v>
      </c>
      <c r="D93" s="381"/>
      <c r="E93" s="206">
        <f>D93*12</f>
        <v>0</v>
      </c>
      <c r="F93" s="386"/>
      <c r="G93" s="398"/>
    </row>
    <row r="94" spans="1:12" ht="14.25">
      <c r="A94" s="387" t="s">
        <v>65</v>
      </c>
      <c r="B94" s="386"/>
      <c r="C94" s="388">
        <f>C13+C15+C16+C19+C21+C26+C27+C30+C32+C33+C36+C37+C39+C40+C43+C45+C46+C48+C49+C53+C54+C56+C59+C62+C65+C66++C70+C71+C74+C75+C77+C79+C81+C83+C84+C85+C86+C87+C89+C90+C91+C93</f>
        <v>-1E-3</v>
      </c>
      <c r="D94" s="388">
        <f>D13+D15+D16+D19+D21+D26+D27+D30+D32+D33+D36+D37+D39+D40+D43+D45+D46+D48+D49+D53+D54+D56+D59+D62+D65+D66++D70+D71+D74+D75+D77+D79+D81+D83+D84+D85+D86+D87+D89+D90+D91+D93</f>
        <v>4.0588867950000003</v>
      </c>
      <c r="E94" s="388">
        <f>E13+E14+E15+E16+E17+E18+E19+E21+E22+E24+E25+E26+E27+E29+E30+E31+E32+E33+E34+E35+E36+E37+E39+E40+E41+E43+E44+E45+E46+E48+E49+E50+E51+E52+E53+E54+E55+E56+E57+E58+E59+E60+E62+E63+E64+E65+E66+E67+E69+E70+E71+E72+E77+E79+E81+E83+E84+E85+E86+E87+E89+E90+E91+E93</f>
        <v>40.906641539999995</v>
      </c>
      <c r="F94" s="386"/>
      <c r="G94" s="398"/>
      <c r="H94" s="361" t="e">
        <f>C94/B91/12*1000</f>
        <v>#DIV/0!</v>
      </c>
      <c r="K94" s="201">
        <f>L87+L79+J12</f>
        <v>-1E-3</v>
      </c>
    </row>
    <row r="95" spans="1:12" ht="30" customHeight="1">
      <c r="A95" s="390" t="s">
        <v>66</v>
      </c>
      <c r="B95" s="386"/>
      <c r="C95" s="389">
        <f>C94+об.полубл!C27</f>
        <v>-1E-3</v>
      </c>
      <c r="D95" s="389">
        <f>D94+об.полубл!D27</f>
        <v>10.76532619616224</v>
      </c>
      <c r="E95" s="388"/>
      <c r="F95" s="386"/>
      <c r="G95" s="398"/>
      <c r="H95" s="146" t="e">
        <f>C95/B93/12*1000</f>
        <v>#DIV/0!</v>
      </c>
    </row>
    <row r="96" spans="1:12" ht="14.25">
      <c r="A96" s="391" t="s">
        <v>84</v>
      </c>
      <c r="B96" s="116"/>
      <c r="C96" s="392">
        <f>C95/12</f>
        <v>-8.3333333333333331E-5</v>
      </c>
      <c r="D96" s="116"/>
      <c r="E96" s="116"/>
      <c r="F96" s="116"/>
      <c r="G96" s="399"/>
    </row>
    <row r="97" spans="1:7" ht="14.25">
      <c r="A97" s="393" t="s">
        <v>67</v>
      </c>
      <c r="B97" s="352"/>
      <c r="C97" s="352"/>
      <c r="D97" s="352"/>
      <c r="E97" s="352"/>
      <c r="F97" s="352"/>
      <c r="G97" s="352"/>
    </row>
    <row r="98" spans="1:7">
      <c r="A98" s="352" t="s">
        <v>367</v>
      </c>
      <c r="B98" s="352"/>
      <c r="C98" s="352"/>
      <c r="D98" s="352"/>
      <c r="E98" s="352"/>
      <c r="F98" s="352"/>
      <c r="G98" s="352"/>
    </row>
    <row r="99" spans="1:7" ht="14.25">
      <c r="A99" s="393"/>
      <c r="B99" s="352"/>
      <c r="C99" s="352"/>
      <c r="D99" s="352"/>
      <c r="E99" s="352"/>
      <c r="F99" s="352"/>
      <c r="G99" s="352"/>
    </row>
    <row r="100" spans="1:7">
      <c r="A100" s="394"/>
      <c r="B100" s="352"/>
      <c r="C100" s="352"/>
      <c r="D100" s="352"/>
      <c r="E100" s="352"/>
      <c r="F100" s="352"/>
      <c r="G100" s="352"/>
    </row>
    <row r="101" spans="1:7">
      <c r="A101" s="352"/>
      <c r="B101" s="352"/>
      <c r="C101" s="352"/>
      <c r="D101" s="352"/>
      <c r="E101" s="352"/>
      <c r="F101" s="352"/>
      <c r="G101" s="352"/>
    </row>
    <row r="102" spans="1:7">
      <c r="A102" s="352"/>
      <c r="B102" s="352"/>
      <c r="C102" s="352"/>
      <c r="D102" s="352"/>
      <c r="E102" s="352"/>
      <c r="F102" s="352"/>
      <c r="G102" s="352"/>
    </row>
  </sheetData>
  <mergeCells count="39">
    <mergeCell ref="A2:F2"/>
    <mergeCell ref="A3:F3"/>
    <mergeCell ref="A4:F4"/>
    <mergeCell ref="A5:F5"/>
    <mergeCell ref="G9:G10"/>
    <mergeCell ref="A12:F12"/>
    <mergeCell ref="A7:F7"/>
    <mergeCell ref="A8:F8"/>
    <mergeCell ref="A9:A11"/>
    <mergeCell ref="B9:B11"/>
    <mergeCell ref="D9:D11"/>
    <mergeCell ref="E9:E11"/>
    <mergeCell ref="F9:F11"/>
    <mergeCell ref="A20:F20"/>
    <mergeCell ref="B22:B23"/>
    <mergeCell ref="C22:C23"/>
    <mergeCell ref="D22:D23"/>
    <mergeCell ref="E22:E23"/>
    <mergeCell ref="F22:F23"/>
    <mergeCell ref="C77:C78"/>
    <mergeCell ref="D77:D78"/>
    <mergeCell ref="E77:E78"/>
    <mergeCell ref="F77:G78"/>
    <mergeCell ref="G22:G23"/>
    <mergeCell ref="A28:F28"/>
    <mergeCell ref="A38:F38"/>
    <mergeCell ref="A42:F42"/>
    <mergeCell ref="A47:F47"/>
    <mergeCell ref="A61:F61"/>
    <mergeCell ref="A68:F68"/>
    <mergeCell ref="A73:F73"/>
    <mergeCell ref="A76:G76"/>
    <mergeCell ref="A77:A78"/>
    <mergeCell ref="B77:B78"/>
    <mergeCell ref="A92:F92"/>
    <mergeCell ref="F79:G79"/>
    <mergeCell ref="A80:F80"/>
    <mergeCell ref="A82:F82"/>
    <mergeCell ref="A88:F8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topLeftCell="A14" workbookViewId="0">
      <selection activeCell="D23" sqref="C23:D23"/>
    </sheetView>
  </sheetViews>
  <sheetFormatPr defaultRowHeight="12.75"/>
  <cols>
    <col min="1" max="1" width="31.7109375" customWidth="1"/>
    <col min="2" max="2" width="16.5703125" customWidth="1"/>
    <col min="3" max="4" width="13.85546875" customWidth="1"/>
    <col min="5" max="5" width="13.5703125" customWidth="1"/>
  </cols>
  <sheetData>
    <row r="1" spans="1:5" ht="15.75">
      <c r="A1" s="40"/>
    </row>
    <row r="2" spans="1:5" ht="15.75">
      <c r="A2" s="1" t="s">
        <v>434</v>
      </c>
    </row>
    <row r="3" spans="1:5" ht="15.75">
      <c r="A3" s="1" t="s">
        <v>435</v>
      </c>
    </row>
    <row r="4" spans="1:5" ht="15.75">
      <c r="A4" s="1" t="s">
        <v>436</v>
      </c>
    </row>
    <row r="5" spans="1:5" ht="16.5" thickBot="1">
      <c r="A5" s="1"/>
    </row>
    <row r="6" spans="1:5" ht="14.25">
      <c r="A6" s="441" t="s">
        <v>437</v>
      </c>
      <c r="B6" s="444" t="s">
        <v>438</v>
      </c>
      <c r="C6" s="7" t="s">
        <v>439</v>
      </c>
      <c r="D6" s="7" t="s">
        <v>454</v>
      </c>
      <c r="E6" s="441" t="s">
        <v>458</v>
      </c>
    </row>
    <row r="7" spans="1:5" ht="27" customHeight="1">
      <c r="A7" s="442"/>
      <c r="B7" s="445"/>
      <c r="C7" s="8" t="s">
        <v>440</v>
      </c>
      <c r="D7" s="8" t="s">
        <v>455</v>
      </c>
      <c r="E7" s="442"/>
    </row>
    <row r="8" spans="1:5" ht="29.25" customHeight="1">
      <c r="A8" s="442"/>
      <c r="B8" s="445"/>
      <c r="C8" s="8" t="s">
        <v>441</v>
      </c>
      <c r="D8" s="8" t="s">
        <v>456</v>
      </c>
      <c r="E8" s="442"/>
    </row>
    <row r="9" spans="1:5" ht="28.5" customHeight="1" thickBot="1">
      <c r="A9" s="442"/>
      <c r="B9" s="445"/>
      <c r="C9" s="9"/>
      <c r="D9" s="11" t="s">
        <v>457</v>
      </c>
      <c r="E9" s="442"/>
    </row>
    <row r="10" spans="1:5" ht="29.25" thickBot="1">
      <c r="A10" s="443"/>
      <c r="B10" s="446"/>
      <c r="C10" s="10"/>
      <c r="D10" s="12" t="s">
        <v>71</v>
      </c>
      <c r="E10" s="443"/>
    </row>
    <row r="11" spans="1:5" ht="28.5" customHeight="1" thickBot="1">
      <c r="A11" s="438" t="s">
        <v>460</v>
      </c>
      <c r="B11" s="439"/>
      <c r="C11" s="439"/>
      <c r="D11" s="439"/>
      <c r="E11" s="440"/>
    </row>
    <row r="12" spans="1:5" ht="33.75" customHeight="1" thickBot="1">
      <c r="A12" s="13" t="s">
        <v>461</v>
      </c>
      <c r="B12" s="14" t="s">
        <v>462</v>
      </c>
      <c r="C12" s="14">
        <f>D12*F12/1000</f>
        <v>0</v>
      </c>
      <c r="D12" s="14">
        <v>7.7999999999999996E-3</v>
      </c>
      <c r="E12" s="14"/>
    </row>
    <row r="13" spans="1:5" ht="32.25" customHeight="1" thickBot="1">
      <c r="A13" s="438" t="s">
        <v>463</v>
      </c>
      <c r="B13" s="439"/>
      <c r="C13" s="439"/>
      <c r="D13" s="439"/>
      <c r="E13" s="440"/>
    </row>
    <row r="14" spans="1:5" ht="15.75" thickBot="1">
      <c r="A14" s="15" t="s">
        <v>478</v>
      </c>
      <c r="B14" s="41" t="s">
        <v>464</v>
      </c>
      <c r="C14" s="14">
        <f>D14*F14/1000</f>
        <v>0</v>
      </c>
      <c r="D14" s="14">
        <v>1.7399999999999999E-2</v>
      </c>
      <c r="E14" s="14"/>
    </row>
    <row r="15" spans="1:5" ht="30.75" thickBot="1">
      <c r="A15" s="15" t="s">
        <v>479</v>
      </c>
      <c r="B15" s="41" t="s">
        <v>464</v>
      </c>
      <c r="C15" s="14">
        <f>D15*F15/1000</f>
        <v>0</v>
      </c>
      <c r="D15" s="14">
        <v>2.3199999999999998E-2</v>
      </c>
      <c r="E15" s="14"/>
    </row>
    <row r="16" spans="1:5" ht="15" customHeight="1" thickBot="1">
      <c r="A16" s="438" t="s">
        <v>74</v>
      </c>
      <c r="B16" s="439"/>
      <c r="C16" s="439"/>
      <c r="D16" s="439"/>
      <c r="E16" s="440"/>
    </row>
    <row r="17" spans="1:5" ht="30.75" thickBot="1">
      <c r="A17" s="15" t="s">
        <v>465</v>
      </c>
      <c r="B17" s="16" t="s">
        <v>462</v>
      </c>
      <c r="C17" s="14">
        <f>D17*F17/1000</f>
        <v>0</v>
      </c>
      <c r="D17" s="14">
        <v>1.2E-2</v>
      </c>
      <c r="E17" s="14"/>
    </row>
    <row r="18" spans="1:5" ht="18" customHeight="1" thickBot="1">
      <c r="A18" s="438" t="s">
        <v>466</v>
      </c>
      <c r="B18" s="439"/>
      <c r="C18" s="439"/>
      <c r="D18" s="439"/>
      <c r="E18" s="440"/>
    </row>
    <row r="19" spans="1:5" ht="36.75" customHeight="1" thickBot="1">
      <c r="A19" s="21" t="s">
        <v>467</v>
      </c>
      <c r="B19" s="24" t="s">
        <v>75</v>
      </c>
      <c r="C19" s="14">
        <f>D19*F19/1000</f>
        <v>0</v>
      </c>
      <c r="D19" s="14">
        <v>1.1900000000000001E-2</v>
      </c>
      <c r="E19" s="14"/>
    </row>
    <row r="20" spans="1:5" ht="17.25" customHeight="1" thickBot="1">
      <c r="A20" s="438" t="s">
        <v>472</v>
      </c>
      <c r="B20" s="439"/>
      <c r="C20" s="439"/>
      <c r="D20" s="439"/>
      <c r="E20" s="440"/>
    </row>
    <row r="21" spans="1:5" ht="47.25" hidden="1" customHeight="1" thickBot="1">
      <c r="A21" s="15" t="s">
        <v>473</v>
      </c>
      <c r="B21" s="16" t="s">
        <v>474</v>
      </c>
      <c r="C21" s="14"/>
      <c r="D21" s="14"/>
      <c r="E21" s="14"/>
    </row>
    <row r="22" spans="1:5" ht="74.25" customHeight="1" thickBot="1">
      <c r="A22" s="15" t="s">
        <v>475</v>
      </c>
      <c r="B22" s="16" t="s">
        <v>476</v>
      </c>
      <c r="C22" s="14">
        <f>D22*F22/1000</f>
        <v>0</v>
      </c>
      <c r="D22" s="14">
        <v>3.4299999999999997E-2</v>
      </c>
      <c r="E22" s="14"/>
    </row>
    <row r="23" spans="1:5" ht="15" thickBot="1">
      <c r="A23" s="18" t="s">
        <v>477</v>
      </c>
      <c r="B23" s="19"/>
      <c r="C23" s="11">
        <f>C12+C14+C15+C17+C19+C21+C22</f>
        <v>0</v>
      </c>
      <c r="D23" s="11">
        <f>D12+D14+D15+D17+D19+D21+D22</f>
        <v>0.1066</v>
      </c>
      <c r="E23" s="11"/>
    </row>
    <row r="24" spans="1:5" ht="14.25">
      <c r="A24" s="25"/>
    </row>
    <row r="25" spans="1:5" ht="14.25">
      <c r="A25" s="25"/>
    </row>
    <row r="26" spans="1:5" ht="14.25">
      <c r="A26" s="25"/>
    </row>
    <row r="27" spans="1:5" ht="14.25">
      <c r="A27" s="25"/>
    </row>
  </sheetData>
  <mergeCells count="8">
    <mergeCell ref="A20:E20"/>
    <mergeCell ref="A18:E18"/>
    <mergeCell ref="A16:E16"/>
    <mergeCell ref="A6:A10"/>
    <mergeCell ref="E6:E10"/>
    <mergeCell ref="A11:E11"/>
    <mergeCell ref="A13:E13"/>
    <mergeCell ref="B6:B1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5"/>
  <sheetViews>
    <sheetView workbookViewId="0">
      <selection activeCell="F12" sqref="F12"/>
    </sheetView>
  </sheetViews>
  <sheetFormatPr defaultRowHeight="12.75"/>
  <cols>
    <col min="1" max="1" width="24.42578125" customWidth="1"/>
    <col min="2" max="2" width="22.7109375" customWidth="1"/>
    <col min="3" max="3" width="16.85546875" customWidth="1"/>
    <col min="4" max="4" width="17.85546875" customWidth="1"/>
    <col min="5" max="5" width="0.42578125" customWidth="1"/>
    <col min="6" max="6" width="12.85546875" style="65" customWidth="1"/>
    <col min="9" max="9" width="9.5703125" bestFit="1" customWidth="1"/>
  </cols>
  <sheetData>
    <row r="1" spans="1:9">
      <c r="A1" s="497" t="s">
        <v>434</v>
      </c>
      <c r="B1" s="497"/>
      <c r="C1" s="497"/>
      <c r="D1" s="497"/>
      <c r="E1" s="370"/>
    </row>
    <row r="2" spans="1:9" ht="15.75">
      <c r="A2" s="367" t="s">
        <v>435</v>
      </c>
      <c r="B2" s="367"/>
      <c r="C2" s="367"/>
      <c r="D2" s="367"/>
      <c r="E2" s="367"/>
    </row>
    <row r="3" spans="1:9" ht="15.75">
      <c r="A3" s="369" t="s">
        <v>345</v>
      </c>
      <c r="B3" s="369"/>
      <c r="C3" s="369"/>
      <c r="D3" s="369"/>
      <c r="E3" s="369"/>
    </row>
    <row r="4" spans="1:9" ht="15.75">
      <c r="A4" s="588" t="s">
        <v>363</v>
      </c>
      <c r="B4" s="588"/>
      <c r="C4" s="588"/>
      <c r="D4" s="588"/>
      <c r="E4" s="367"/>
      <c r="F4" s="367"/>
    </row>
    <row r="5" spans="1:9" ht="24" customHeight="1">
      <c r="A5" s="584" t="s">
        <v>437</v>
      </c>
      <c r="B5" s="428" t="s">
        <v>438</v>
      </c>
      <c r="C5" s="188" t="s">
        <v>439</v>
      </c>
      <c r="D5" s="210" t="s">
        <v>454</v>
      </c>
      <c r="E5" s="601" t="s">
        <v>458</v>
      </c>
      <c r="F5" s="589" t="s">
        <v>83</v>
      </c>
    </row>
    <row r="6" spans="1:9" ht="14.25">
      <c r="A6" s="584"/>
      <c r="B6" s="428"/>
      <c r="C6" s="189" t="s">
        <v>440</v>
      </c>
      <c r="D6" s="184" t="s">
        <v>455</v>
      </c>
      <c r="E6" s="602"/>
      <c r="F6" s="589"/>
    </row>
    <row r="7" spans="1:9" ht="14.25" customHeight="1">
      <c r="A7" s="584"/>
      <c r="B7" s="428"/>
      <c r="C7" s="189" t="s">
        <v>441</v>
      </c>
      <c r="D7" s="184" t="s">
        <v>456</v>
      </c>
      <c r="E7" s="602"/>
      <c r="F7" s="589"/>
    </row>
    <row r="8" spans="1:9" ht="15.75" customHeight="1">
      <c r="A8" s="584"/>
      <c r="B8" s="428"/>
      <c r="C8" s="638"/>
      <c r="D8" s="605" t="s">
        <v>457</v>
      </c>
      <c r="E8" s="602"/>
      <c r="F8" s="589"/>
    </row>
    <row r="9" spans="1:9" ht="2.25" customHeight="1">
      <c r="A9" s="584"/>
      <c r="B9" s="428"/>
      <c r="C9" s="639"/>
      <c r="D9" s="640"/>
      <c r="E9" s="437"/>
      <c r="F9" s="589"/>
    </row>
    <row r="10" spans="1:9" ht="16.5" customHeight="1">
      <c r="A10" s="641" t="s">
        <v>460</v>
      </c>
      <c r="B10" s="642"/>
      <c r="C10" s="642"/>
      <c r="D10" s="643"/>
      <c r="E10" s="371"/>
    </row>
    <row r="11" spans="1:9" ht="52.5" customHeight="1">
      <c r="A11" s="379" t="s">
        <v>28</v>
      </c>
      <c r="B11" s="211" t="s">
        <v>462</v>
      </c>
      <c r="C11" s="206">
        <f>D11*F11*12/1000</f>
        <v>0</v>
      </c>
      <c r="D11" s="381">
        <f>0.0191</f>
        <v>1.9099999999999999E-2</v>
      </c>
      <c r="E11" s="211"/>
      <c r="F11" s="322">
        <v>0</v>
      </c>
      <c r="I11" s="354">
        <f>C11+C13+C14</f>
        <v>0</v>
      </c>
    </row>
    <row r="12" spans="1:9" ht="29.25" customHeight="1">
      <c r="A12" s="596" t="s">
        <v>463</v>
      </c>
      <c r="B12" s="597"/>
      <c r="C12" s="597"/>
      <c r="D12" s="597"/>
      <c r="E12" s="598"/>
    </row>
    <row r="13" spans="1:9" ht="20.25" customHeight="1">
      <c r="A13" s="400" t="s">
        <v>478</v>
      </c>
      <c r="B13" s="211" t="s">
        <v>464</v>
      </c>
      <c r="C13" s="206">
        <f>D13*F13*12/1000</f>
        <v>0</v>
      </c>
      <c r="D13" s="381">
        <f>0.0502</f>
        <v>5.0200000000000002E-2</v>
      </c>
      <c r="E13" s="211"/>
      <c r="F13" s="65">
        <f>F11</f>
        <v>0</v>
      </c>
    </row>
    <row r="14" spans="1:9" ht="45">
      <c r="A14" s="401" t="s">
        <v>206</v>
      </c>
      <c r="B14" s="211" t="s">
        <v>464</v>
      </c>
      <c r="C14" s="206">
        <f>D14*F14*12/1000</f>
        <v>0</v>
      </c>
      <c r="D14" s="381">
        <f>0.0602</f>
        <v>6.0199999999999997E-2</v>
      </c>
      <c r="E14" s="211"/>
      <c r="F14" s="65">
        <f>F13</f>
        <v>0</v>
      </c>
    </row>
    <row r="15" spans="1:9" ht="14.25">
      <c r="A15" s="596" t="s">
        <v>74</v>
      </c>
      <c r="B15" s="597"/>
      <c r="C15" s="597"/>
      <c r="D15" s="597"/>
      <c r="E15" s="598"/>
    </row>
    <row r="16" spans="1:9" ht="30">
      <c r="A16" s="401" t="s">
        <v>205</v>
      </c>
      <c r="B16" s="400" t="s">
        <v>462</v>
      </c>
      <c r="C16" s="206">
        <f>D16*F16*12/1000</f>
        <v>0</v>
      </c>
      <c r="D16" s="381">
        <f>0.017</f>
        <v>1.7000000000000001E-2</v>
      </c>
      <c r="E16" s="211"/>
      <c r="F16" s="65">
        <f>F14</f>
        <v>0</v>
      </c>
      <c r="I16" s="355">
        <f>C16+C21+C23+C24</f>
        <v>0</v>
      </c>
    </row>
    <row r="17" spans="1:9" ht="30" hidden="1">
      <c r="A17" s="401" t="s">
        <v>452</v>
      </c>
      <c r="B17" s="400" t="s">
        <v>453</v>
      </c>
      <c r="C17" s="206">
        <f>D17*F17*12/1000</f>
        <v>0</v>
      </c>
      <c r="D17" s="381">
        <f>H17</f>
        <v>0</v>
      </c>
      <c r="E17" s="211"/>
      <c r="F17" s="65">
        <f>F16</f>
        <v>0</v>
      </c>
    </row>
    <row r="18" spans="1:9" ht="17.25" customHeight="1">
      <c r="A18" s="613" t="s">
        <v>76</v>
      </c>
      <c r="B18" s="613"/>
      <c r="C18" s="613"/>
      <c r="D18" s="613"/>
      <c r="E18" s="613"/>
    </row>
    <row r="19" spans="1:9" ht="39" hidden="1" customHeight="1">
      <c r="A19" s="599" t="s">
        <v>166</v>
      </c>
      <c r="B19" s="402" t="s">
        <v>364</v>
      </c>
      <c r="C19" s="384">
        <f>D19*F19*12/1000</f>
        <v>0</v>
      </c>
      <c r="D19" s="403">
        <f>H19</f>
        <v>0</v>
      </c>
      <c r="E19" s="404"/>
      <c r="F19" s="65">
        <f>F16</f>
        <v>0</v>
      </c>
    </row>
    <row r="20" spans="1:9" ht="42.75" customHeight="1">
      <c r="A20" s="599"/>
      <c r="B20" s="405" t="s">
        <v>442</v>
      </c>
      <c r="C20" s="206">
        <f>D20*F20*12/1000</f>
        <v>0</v>
      </c>
      <c r="D20" s="381">
        <f>обяз!D20</f>
        <v>3.5439401162239946E-2</v>
      </c>
      <c r="E20" s="211"/>
      <c r="F20" s="65">
        <f>F17</f>
        <v>0</v>
      </c>
      <c r="I20" s="359">
        <f>C20</f>
        <v>0</v>
      </c>
    </row>
    <row r="21" spans="1:9" ht="53.25" customHeight="1">
      <c r="A21" s="600"/>
      <c r="B21" s="406" t="s">
        <v>344</v>
      </c>
      <c r="C21" s="206">
        <f>D21*F21*12/1000</f>
        <v>0</v>
      </c>
      <c r="D21" s="381">
        <v>3.7199999999999997E-2</v>
      </c>
      <c r="E21" s="211"/>
      <c r="F21" s="65">
        <f>F20</f>
        <v>0</v>
      </c>
    </row>
    <row r="22" spans="1:9" ht="15.75" customHeight="1">
      <c r="A22" s="596" t="s">
        <v>77</v>
      </c>
      <c r="B22" s="597"/>
      <c r="C22" s="597"/>
      <c r="D22" s="597"/>
      <c r="E22" s="598"/>
    </row>
    <row r="23" spans="1:9" ht="38.25">
      <c r="A23" s="400" t="s">
        <v>473</v>
      </c>
      <c r="B23" s="407" t="s">
        <v>174</v>
      </c>
      <c r="C23" s="206">
        <f>D23*F23*12/1000</f>
        <v>0</v>
      </c>
      <c r="D23" s="381">
        <f>0.404/2</f>
        <v>0.20200000000000001</v>
      </c>
      <c r="E23" s="211"/>
      <c r="F23" s="65">
        <f>F21</f>
        <v>0</v>
      </c>
    </row>
    <row r="24" spans="1:9" ht="30">
      <c r="A24" s="401" t="s">
        <v>475</v>
      </c>
      <c r="B24" s="406" t="s">
        <v>30</v>
      </c>
      <c r="C24" s="206">
        <f>D24*F24*12/1000</f>
        <v>0</v>
      </c>
      <c r="D24" s="381">
        <f>0.065</f>
        <v>6.5000000000000002E-2</v>
      </c>
      <c r="E24" s="211"/>
      <c r="F24" s="65">
        <f>F23</f>
        <v>0</v>
      </c>
    </row>
    <row r="25" spans="1:9" ht="30">
      <c r="A25" s="72" t="s">
        <v>64</v>
      </c>
      <c r="B25" s="203"/>
      <c r="C25" s="195">
        <f>D25*F25*12/1000</f>
        <v>0</v>
      </c>
      <c r="D25" s="196">
        <v>3.6162999999999998</v>
      </c>
      <c r="E25" s="181"/>
      <c r="F25" s="65">
        <f>F24</f>
        <v>0</v>
      </c>
    </row>
    <row r="26" spans="1:9" ht="30">
      <c r="A26" s="372" t="s">
        <v>325</v>
      </c>
      <c r="B26" s="203"/>
      <c r="C26" s="195">
        <f>D26*F26*12/1000</f>
        <v>0</v>
      </c>
      <c r="D26" s="196">
        <v>2.6040000000000001</v>
      </c>
      <c r="E26" s="181"/>
      <c r="F26" s="65">
        <f>F25</f>
        <v>0</v>
      </c>
    </row>
    <row r="27" spans="1:9" ht="14.25">
      <c r="A27" s="197" t="s">
        <v>477</v>
      </c>
      <c r="B27" s="197"/>
      <c r="C27" s="63">
        <f>C11+C13+C14+C16+C17+C19+C20+C21+C23+C24+C25+C26</f>
        <v>0</v>
      </c>
      <c r="D27" s="68">
        <f>D11+D13+D14+D16+D17+D19+D20+D21+D23+D24+D25+D26</f>
        <v>6.7064394011622399</v>
      </c>
      <c r="E27" s="187"/>
      <c r="F27" s="69" t="e">
        <f>C27/12/F24*1000</f>
        <v>#DIV/0!</v>
      </c>
      <c r="I27" s="201">
        <f>C26+C25+I20+I16+I11</f>
        <v>0</v>
      </c>
    </row>
    <row r="28" spans="1:9" hidden="1">
      <c r="A28" s="207"/>
      <c r="B28" s="208"/>
      <c r="C28" s="209">
        <f>C27/12</f>
        <v>0</v>
      </c>
      <c r="D28" s="208"/>
      <c r="E28" s="208"/>
    </row>
    <row r="30" spans="1:9">
      <c r="A30" t="s">
        <v>367</v>
      </c>
    </row>
    <row r="79" ht="42" customHeight="1"/>
    <row r="83" ht="16.5" customHeight="1"/>
    <row r="155" ht="16.5" customHeight="1"/>
  </sheetData>
  <mergeCells count="14">
    <mergeCell ref="A4:D4"/>
    <mergeCell ref="A10:D10"/>
    <mergeCell ref="A12:E12"/>
    <mergeCell ref="A1:D1"/>
    <mergeCell ref="A5:A9"/>
    <mergeCell ref="B5:B9"/>
    <mergeCell ref="E5:E9"/>
    <mergeCell ref="A18:E18"/>
    <mergeCell ref="A19:A21"/>
    <mergeCell ref="A22:E22"/>
    <mergeCell ref="F5:F9"/>
    <mergeCell ref="C8:C9"/>
    <mergeCell ref="D8:D9"/>
    <mergeCell ref="A15:E1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02"/>
  <sheetViews>
    <sheetView topLeftCell="A50" workbookViewId="0">
      <selection activeCell="A7" sqref="A7:G101"/>
    </sheetView>
  </sheetViews>
  <sheetFormatPr defaultRowHeight="12.75"/>
  <cols>
    <col min="1" max="1" width="33.42578125" style="352" customWidth="1"/>
    <col min="2" max="2" width="10.7109375" style="352" customWidth="1"/>
    <col min="3" max="3" width="11.85546875" style="352" customWidth="1"/>
    <col min="4" max="5" width="11.42578125" style="352" customWidth="1"/>
    <col min="6" max="6" width="11.28515625" style="352" customWidth="1"/>
    <col min="7" max="7" width="0.140625" customWidth="1"/>
  </cols>
  <sheetData>
    <row r="2" spans="1:10" ht="15.75" hidden="1">
      <c r="A2" s="632" t="s">
        <v>434</v>
      </c>
      <c r="B2" s="632"/>
      <c r="C2" s="632"/>
      <c r="D2" s="632"/>
      <c r="E2" s="632"/>
      <c r="F2" s="632"/>
    </row>
    <row r="3" spans="1:10" ht="15.75" hidden="1">
      <c r="A3" s="632" t="s">
        <v>480</v>
      </c>
      <c r="B3" s="632"/>
      <c r="C3" s="632"/>
      <c r="D3" s="632"/>
      <c r="E3" s="632"/>
      <c r="F3" s="632"/>
    </row>
    <row r="4" spans="1:10" ht="15.75" hidden="1">
      <c r="A4" s="632" t="s">
        <v>481</v>
      </c>
      <c r="B4" s="632"/>
      <c r="C4" s="632"/>
      <c r="D4" s="632"/>
      <c r="E4" s="632"/>
      <c r="F4" s="632"/>
    </row>
    <row r="5" spans="1:10" ht="15.75" hidden="1">
      <c r="A5" s="632" t="s">
        <v>482</v>
      </c>
      <c r="B5" s="632"/>
      <c r="C5" s="632"/>
      <c r="D5" s="632"/>
      <c r="E5" s="632"/>
      <c r="F5" s="632"/>
    </row>
    <row r="6" spans="1:10" ht="15.75" hidden="1">
      <c r="A6" s="376"/>
    </row>
    <row r="7" spans="1:10" ht="30.75" customHeight="1">
      <c r="A7" s="633" t="s">
        <v>306</v>
      </c>
      <c r="B7" s="633"/>
      <c r="C7" s="633"/>
      <c r="D7" s="633"/>
      <c r="E7" s="633"/>
      <c r="F7" s="633"/>
    </row>
    <row r="8" spans="1:10" ht="14.25">
      <c r="A8" s="631"/>
      <c r="B8" s="631"/>
      <c r="C8" s="631"/>
      <c r="D8" s="631"/>
      <c r="E8" s="631"/>
      <c r="F8" s="631"/>
    </row>
    <row r="9" spans="1:10" ht="28.5" customHeight="1">
      <c r="A9" s="635" t="s">
        <v>484</v>
      </c>
      <c r="B9" s="635" t="s">
        <v>485</v>
      </c>
      <c r="C9" s="377" t="s">
        <v>486</v>
      </c>
      <c r="D9" s="635" t="s">
        <v>489</v>
      </c>
      <c r="E9" s="635" t="s">
        <v>82</v>
      </c>
      <c r="F9" s="635" t="s">
        <v>458</v>
      </c>
      <c r="G9" s="621"/>
    </row>
    <row r="10" spans="1:10" ht="25.5">
      <c r="A10" s="636"/>
      <c r="B10" s="636"/>
      <c r="C10" s="378" t="s">
        <v>487</v>
      </c>
      <c r="D10" s="636"/>
      <c r="E10" s="636"/>
      <c r="F10" s="636"/>
      <c r="G10" s="621"/>
    </row>
    <row r="11" spans="1:10" ht="38.25">
      <c r="A11" s="636"/>
      <c r="B11" s="636"/>
      <c r="C11" s="378" t="s">
        <v>488</v>
      </c>
      <c r="D11" s="636"/>
      <c r="E11" s="636"/>
      <c r="F11" s="636"/>
      <c r="G11" s="26"/>
    </row>
    <row r="12" spans="1:10" ht="14.25">
      <c r="A12" s="622" t="s">
        <v>490</v>
      </c>
      <c r="B12" s="623"/>
      <c r="C12" s="623"/>
      <c r="D12" s="623"/>
      <c r="E12" s="623"/>
      <c r="F12" s="624"/>
      <c r="G12" s="373"/>
      <c r="J12" s="354">
        <f>C13+C18+C22+C31+C33+C34+C40+C47+C49+C50+C60</f>
        <v>0</v>
      </c>
    </row>
    <row r="13" spans="1:10" ht="15" customHeight="1">
      <c r="A13" s="618" t="s">
        <v>357</v>
      </c>
      <c r="B13" s="625">
        <f>об.малоэт!F15</f>
        <v>0</v>
      </c>
      <c r="C13" s="620">
        <f>D13*B13*12/1000</f>
        <v>0</v>
      </c>
      <c r="D13" s="615">
        <v>0.72499999999999998</v>
      </c>
      <c r="E13" s="616">
        <f>D13*12</f>
        <v>8.6999999999999993</v>
      </c>
      <c r="F13" s="645"/>
      <c r="G13" s="614"/>
    </row>
    <row r="14" spans="1:10" ht="20.25" customHeight="1">
      <c r="A14" s="618"/>
      <c r="B14" s="626"/>
      <c r="C14" s="620"/>
      <c r="D14" s="615"/>
      <c r="E14" s="617"/>
      <c r="F14" s="645"/>
      <c r="G14" s="614"/>
    </row>
    <row r="15" spans="1:10" ht="45" hidden="1" customHeight="1">
      <c r="A15" s="379"/>
      <c r="B15" s="385">
        <f>B13</f>
        <v>0</v>
      </c>
      <c r="C15" s="206">
        <f t="shared" ref="C15:C20" si="0">D15*B15*12/1000</f>
        <v>0</v>
      </c>
      <c r="D15" s="381"/>
      <c r="E15" s="206">
        <f>D15*12</f>
        <v>0</v>
      </c>
      <c r="F15" s="383"/>
      <c r="G15" s="173"/>
    </row>
    <row r="16" spans="1:10" ht="31.5" hidden="1" customHeight="1">
      <c r="A16" s="379" t="s">
        <v>444</v>
      </c>
      <c r="B16" s="211">
        <f>B15</f>
        <v>0</v>
      </c>
      <c r="C16" s="206">
        <f t="shared" si="0"/>
        <v>0</v>
      </c>
      <c r="D16" s="381"/>
      <c r="E16" s="206">
        <f t="shared" ref="E16:E22" si="1">D16*12</f>
        <v>0</v>
      </c>
      <c r="F16" s="383"/>
      <c r="G16" s="173"/>
    </row>
    <row r="17" spans="1:8" ht="24" hidden="1" customHeight="1">
      <c r="A17" s="379" t="s">
        <v>494</v>
      </c>
      <c r="B17" s="211">
        <f>B16</f>
        <v>0</v>
      </c>
      <c r="C17" s="206">
        <f t="shared" si="0"/>
        <v>0</v>
      </c>
      <c r="D17" s="381"/>
      <c r="E17" s="206">
        <f t="shared" si="1"/>
        <v>0</v>
      </c>
      <c r="F17" s="383"/>
      <c r="G17" s="173"/>
    </row>
    <row r="18" spans="1:8" ht="30">
      <c r="A18" s="379" t="s">
        <v>495</v>
      </c>
      <c r="B18" s="211">
        <f>B17</f>
        <v>0</v>
      </c>
      <c r="C18" s="206">
        <f t="shared" si="0"/>
        <v>0</v>
      </c>
      <c r="D18" s="381">
        <f>0.32445</f>
        <v>0.32445000000000002</v>
      </c>
      <c r="E18" s="206">
        <f t="shared" si="1"/>
        <v>3.8934000000000002</v>
      </c>
      <c r="F18" s="383"/>
      <c r="G18" s="173"/>
    </row>
    <row r="19" spans="1:8" ht="30" hidden="1">
      <c r="A19" s="379" t="s">
        <v>496</v>
      </c>
      <c r="B19" s="211">
        <f>B18</f>
        <v>0</v>
      </c>
      <c r="C19" s="206">
        <f t="shared" si="0"/>
        <v>0</v>
      </c>
      <c r="D19" s="381"/>
      <c r="E19" s="206">
        <f t="shared" si="1"/>
        <v>0</v>
      </c>
      <c r="F19" s="383"/>
      <c r="G19" s="173"/>
    </row>
    <row r="20" spans="1:8" ht="60" hidden="1">
      <c r="A20" s="379" t="s">
        <v>497</v>
      </c>
      <c r="B20" s="211">
        <f>B19</f>
        <v>0</v>
      </c>
      <c r="C20" s="206">
        <f t="shared" si="0"/>
        <v>0</v>
      </c>
      <c r="D20" s="381"/>
      <c r="E20" s="206">
        <f t="shared" si="1"/>
        <v>0</v>
      </c>
      <c r="F20" s="383"/>
      <c r="G20" s="173"/>
      <c r="H20" s="201">
        <f>SUM(C13:C20)</f>
        <v>0</v>
      </c>
    </row>
    <row r="21" spans="1:8" ht="14.25">
      <c r="A21" s="613" t="s">
        <v>498</v>
      </c>
      <c r="B21" s="613"/>
      <c r="C21" s="613"/>
      <c r="D21" s="613"/>
      <c r="E21" s="613"/>
      <c r="F21" s="613"/>
      <c r="G21" s="173"/>
    </row>
    <row r="22" spans="1:8" ht="30">
      <c r="A22" s="379" t="s">
        <v>343</v>
      </c>
      <c r="B22" s="211">
        <f>B20</f>
        <v>0</v>
      </c>
      <c r="C22" s="206">
        <f>D22*B22*12/1000</f>
        <v>0</v>
      </c>
      <c r="D22" s="381">
        <f>0.095</f>
        <v>9.5000000000000001E-2</v>
      </c>
      <c r="E22" s="206">
        <f t="shared" si="1"/>
        <v>1.1400000000000001</v>
      </c>
      <c r="F22" s="386"/>
      <c r="G22" s="173"/>
    </row>
    <row r="23" spans="1:8" ht="16.5" hidden="1" customHeight="1">
      <c r="A23" s="379" t="s">
        <v>500</v>
      </c>
      <c r="B23" s="619">
        <f>B22</f>
        <v>0</v>
      </c>
      <c r="C23" s="620">
        <f>D23*B23*12/1000</f>
        <v>0</v>
      </c>
      <c r="D23" s="615"/>
      <c r="E23" s="616">
        <f>D23*12</f>
        <v>0</v>
      </c>
      <c r="F23" s="613"/>
      <c r="G23" s="614"/>
    </row>
    <row r="24" spans="1:8" ht="13.5" hidden="1" customHeight="1">
      <c r="A24" s="379" t="s">
        <v>501</v>
      </c>
      <c r="B24" s="619"/>
      <c r="C24" s="620"/>
      <c r="D24" s="615"/>
      <c r="E24" s="617"/>
      <c r="F24" s="613"/>
      <c r="G24" s="614"/>
    </row>
    <row r="25" spans="1:8" ht="45" hidden="1" customHeight="1">
      <c r="A25" s="379" t="s">
        <v>502</v>
      </c>
      <c r="B25" s="211">
        <f>B22</f>
        <v>0</v>
      </c>
      <c r="C25" s="206">
        <f>D25*B25*12/1000</f>
        <v>0</v>
      </c>
      <c r="D25" s="381"/>
      <c r="E25" s="206">
        <f t="shared" ref="E25:E76" si="2">D25*12</f>
        <v>0</v>
      </c>
      <c r="F25" s="386"/>
      <c r="G25" s="173"/>
    </row>
    <row r="26" spans="1:8" ht="45" hidden="1" customHeight="1">
      <c r="A26" s="379" t="s">
        <v>503</v>
      </c>
      <c r="B26" s="211">
        <f>B25</f>
        <v>0</v>
      </c>
      <c r="C26" s="206">
        <f>D26*B26*12/1000</f>
        <v>0</v>
      </c>
      <c r="D26" s="381"/>
      <c r="E26" s="206">
        <f t="shared" si="2"/>
        <v>0</v>
      </c>
      <c r="F26" s="386"/>
      <c r="G26" s="173"/>
    </row>
    <row r="27" spans="1:8" ht="60" hidden="1">
      <c r="A27" s="379" t="s">
        <v>446</v>
      </c>
      <c r="B27" s="211">
        <f>B26</f>
        <v>0</v>
      </c>
      <c r="C27" s="206">
        <f>D27*B27*12/1000</f>
        <v>0</v>
      </c>
      <c r="D27" s="381"/>
      <c r="E27" s="206">
        <f t="shared" si="2"/>
        <v>0</v>
      </c>
      <c r="F27" s="386"/>
      <c r="G27" s="173"/>
    </row>
    <row r="28" spans="1:8" ht="30" hidden="1">
      <c r="A28" s="379" t="s">
        <v>507</v>
      </c>
      <c r="B28" s="211">
        <f>B27</f>
        <v>0</v>
      </c>
      <c r="C28" s="206">
        <f>D28*B28*12/1000</f>
        <v>0</v>
      </c>
      <c r="D28" s="211"/>
      <c r="E28" s="206">
        <f t="shared" si="2"/>
        <v>0</v>
      </c>
      <c r="F28" s="386"/>
      <c r="G28" s="173"/>
      <c r="H28" s="201">
        <f>SUM(C22:C28)</f>
        <v>0</v>
      </c>
    </row>
    <row r="29" spans="1:8" ht="14.25">
      <c r="A29" s="613" t="s">
        <v>508</v>
      </c>
      <c r="B29" s="613"/>
      <c r="C29" s="613"/>
      <c r="D29" s="613"/>
      <c r="E29" s="613"/>
      <c r="F29" s="613"/>
      <c r="G29" s="173"/>
    </row>
    <row r="30" spans="1:8" ht="31.5" hidden="1" customHeight="1">
      <c r="A30" s="379" t="s">
        <v>509</v>
      </c>
      <c r="B30" s="211">
        <f>B28</f>
        <v>0</v>
      </c>
      <c r="C30" s="206">
        <f>D30*B30*12/1000</f>
        <v>0</v>
      </c>
      <c r="D30" s="381"/>
      <c r="E30" s="206">
        <f t="shared" si="2"/>
        <v>0</v>
      </c>
      <c r="F30" s="211"/>
      <c r="G30" s="173"/>
    </row>
    <row r="31" spans="1:8" ht="48" customHeight="1">
      <c r="A31" s="379" t="s">
        <v>358</v>
      </c>
      <c r="B31" s="211">
        <f>B28</f>
        <v>0</v>
      </c>
      <c r="C31" s="206">
        <f t="shared" ref="C31:C42" si="3">D31*B31*12/1000</f>
        <v>0</v>
      </c>
      <c r="D31" s="381">
        <v>0.18415000000000001</v>
      </c>
      <c r="E31" s="206">
        <f t="shared" si="2"/>
        <v>2.2098</v>
      </c>
      <c r="F31" s="211"/>
      <c r="G31" s="173"/>
    </row>
    <row r="32" spans="1:8" ht="30" hidden="1" customHeight="1">
      <c r="A32" s="379" t="s">
        <v>511</v>
      </c>
      <c r="B32" s="211">
        <f t="shared" ref="B32:B38" si="4">B31</f>
        <v>0</v>
      </c>
      <c r="C32" s="206">
        <f t="shared" si="3"/>
        <v>0</v>
      </c>
      <c r="D32" s="381"/>
      <c r="E32" s="206">
        <f t="shared" si="2"/>
        <v>0</v>
      </c>
      <c r="F32" s="211"/>
      <c r="G32" s="173"/>
    </row>
    <row r="33" spans="1:8" ht="30" hidden="1" customHeight="1">
      <c r="A33" s="379" t="s">
        <v>512</v>
      </c>
      <c r="B33" s="211">
        <f t="shared" si="4"/>
        <v>0</v>
      </c>
      <c r="C33" s="206">
        <f t="shared" si="3"/>
        <v>0</v>
      </c>
      <c r="D33" s="381">
        <v>0</v>
      </c>
      <c r="E33" s="206">
        <f t="shared" si="2"/>
        <v>0</v>
      </c>
      <c r="F33" s="211"/>
      <c r="G33" s="173"/>
    </row>
    <row r="34" spans="1:8" ht="46.5" customHeight="1">
      <c r="A34" s="379" t="s">
        <v>359</v>
      </c>
      <c r="B34" s="211">
        <f t="shared" si="4"/>
        <v>0</v>
      </c>
      <c r="C34" s="206">
        <f>D34*B34*12/1000</f>
        <v>0</v>
      </c>
      <c r="D34" s="381">
        <f>0.0718</f>
        <v>7.1800000000000003E-2</v>
      </c>
      <c r="E34" s="206">
        <f t="shared" si="2"/>
        <v>0.86160000000000003</v>
      </c>
      <c r="F34" s="211"/>
      <c r="G34" s="173"/>
    </row>
    <row r="35" spans="1:8" ht="91.5" hidden="1" customHeight="1">
      <c r="A35" s="379" t="s">
        <v>514</v>
      </c>
      <c r="B35" s="211">
        <f t="shared" si="4"/>
        <v>0</v>
      </c>
      <c r="C35" s="206">
        <f t="shared" si="3"/>
        <v>0</v>
      </c>
      <c r="D35" s="381"/>
      <c r="E35" s="206">
        <f t="shared" si="2"/>
        <v>0</v>
      </c>
      <c r="F35" s="211"/>
      <c r="G35" s="173"/>
    </row>
    <row r="36" spans="1:8" ht="45.75" hidden="1" customHeight="1">
      <c r="A36" s="379" t="s">
        <v>515</v>
      </c>
      <c r="B36" s="211">
        <f t="shared" si="4"/>
        <v>0</v>
      </c>
      <c r="C36" s="206">
        <f t="shared" si="3"/>
        <v>0</v>
      </c>
      <c r="D36" s="381"/>
      <c r="E36" s="206">
        <f t="shared" si="2"/>
        <v>0</v>
      </c>
      <c r="F36" s="211"/>
      <c r="G36" s="173"/>
    </row>
    <row r="37" spans="1:8" ht="62.25" hidden="1" customHeight="1">
      <c r="A37" s="379" t="s">
        <v>448</v>
      </c>
      <c r="B37" s="211">
        <f t="shared" si="4"/>
        <v>0</v>
      </c>
      <c r="C37" s="206">
        <f>D37*B37*12/1000</f>
        <v>0</v>
      </c>
      <c r="D37" s="381"/>
      <c r="E37" s="206">
        <f t="shared" si="2"/>
        <v>0</v>
      </c>
      <c r="F37" s="211"/>
      <c r="G37" s="173"/>
    </row>
    <row r="38" spans="1:8" ht="28.5" hidden="1" customHeight="1">
      <c r="A38" s="379" t="s">
        <v>27</v>
      </c>
      <c r="B38" s="211">
        <f t="shared" si="4"/>
        <v>0</v>
      </c>
      <c r="C38" s="206">
        <f t="shared" si="3"/>
        <v>0</v>
      </c>
      <c r="D38" s="381"/>
      <c r="E38" s="206">
        <f t="shared" si="2"/>
        <v>0</v>
      </c>
      <c r="F38" s="211"/>
      <c r="G38" s="173"/>
      <c r="H38" s="201">
        <f>SUM(C31:C38)</f>
        <v>0</v>
      </c>
    </row>
    <row r="39" spans="1:8" ht="14.25">
      <c r="A39" s="613" t="s">
        <v>518</v>
      </c>
      <c r="B39" s="613"/>
      <c r="C39" s="613"/>
      <c r="D39" s="613"/>
      <c r="E39" s="613"/>
      <c r="F39" s="613"/>
      <c r="G39" s="173"/>
    </row>
    <row r="40" spans="1:8" ht="33" customHeight="1">
      <c r="A40" s="379" t="s">
        <v>360</v>
      </c>
      <c r="B40" s="211">
        <f>B38</f>
        <v>0</v>
      </c>
      <c r="C40" s="206">
        <f t="shared" si="3"/>
        <v>0</v>
      </c>
      <c r="D40" s="381">
        <f>0.1068</f>
        <v>0.10680000000000001</v>
      </c>
      <c r="E40" s="206">
        <f t="shared" si="2"/>
        <v>1.2816000000000001</v>
      </c>
      <c r="F40" s="386"/>
      <c r="G40" s="173"/>
    </row>
    <row r="41" spans="1:8" ht="43.5" hidden="1" customHeight="1">
      <c r="A41" s="379" t="s">
        <v>520</v>
      </c>
      <c r="B41" s="211">
        <f>B40</f>
        <v>0</v>
      </c>
      <c r="C41" s="206">
        <f t="shared" si="3"/>
        <v>0</v>
      </c>
      <c r="D41" s="381"/>
      <c r="E41" s="206">
        <f t="shared" si="2"/>
        <v>0</v>
      </c>
      <c r="F41" s="386"/>
      <c r="G41" s="173"/>
      <c r="H41" s="201">
        <f>SUM(C40:C41)</f>
        <v>0</v>
      </c>
    </row>
    <row r="42" spans="1:8" ht="60" hidden="1">
      <c r="A42" s="379" t="s">
        <v>523</v>
      </c>
      <c r="B42" s="211">
        <f>B41</f>
        <v>0</v>
      </c>
      <c r="C42" s="206">
        <f t="shared" si="3"/>
        <v>0</v>
      </c>
      <c r="D42" s="381"/>
      <c r="E42" s="206">
        <f t="shared" si="2"/>
        <v>0</v>
      </c>
      <c r="F42" s="386"/>
      <c r="G42" s="173"/>
    </row>
    <row r="43" spans="1:8" ht="14.25">
      <c r="A43" s="613" t="s">
        <v>524</v>
      </c>
      <c r="B43" s="613"/>
      <c r="C43" s="613"/>
      <c r="D43" s="613"/>
      <c r="E43" s="613"/>
      <c r="F43" s="613"/>
      <c r="G43" s="173"/>
    </row>
    <row r="44" spans="1:8" ht="44.25" hidden="1" customHeight="1">
      <c r="A44" s="379" t="s">
        <v>525</v>
      </c>
      <c r="B44" s="211">
        <f>B42</f>
        <v>0</v>
      </c>
      <c r="C44" s="206">
        <f>D44*B44*12/1000</f>
        <v>0</v>
      </c>
      <c r="D44" s="381"/>
      <c r="E44" s="206">
        <f t="shared" si="2"/>
        <v>0</v>
      </c>
      <c r="F44" s="386"/>
      <c r="G44" s="173"/>
    </row>
    <row r="45" spans="1:8" ht="30.75" hidden="1" customHeight="1">
      <c r="A45" s="379" t="s">
        <v>526</v>
      </c>
      <c r="B45" s="211">
        <f>B44</f>
        <v>0</v>
      </c>
      <c r="C45" s="206">
        <f>D45*B45*12/1000</f>
        <v>0</v>
      </c>
      <c r="D45" s="381"/>
      <c r="E45" s="206">
        <f t="shared" si="2"/>
        <v>0</v>
      </c>
      <c r="F45" s="386"/>
      <c r="G45" s="173"/>
    </row>
    <row r="46" spans="1:8" ht="18" hidden="1" customHeight="1">
      <c r="A46" s="379" t="s">
        <v>527</v>
      </c>
      <c r="B46" s="211">
        <f>B45</f>
        <v>0</v>
      </c>
      <c r="C46" s="206">
        <f>D46*B46*12/1000</f>
        <v>0</v>
      </c>
      <c r="D46" s="381"/>
      <c r="E46" s="206">
        <f t="shared" si="2"/>
        <v>0</v>
      </c>
      <c r="F46" s="386"/>
      <c r="G46" s="173"/>
    </row>
    <row r="47" spans="1:8" ht="15.75" customHeight="1">
      <c r="A47" s="379" t="s">
        <v>361</v>
      </c>
      <c r="B47" s="211">
        <f>B46</f>
        <v>0</v>
      </c>
      <c r="C47" s="206">
        <f>D47*B47*12/1000</f>
        <v>0</v>
      </c>
      <c r="D47" s="381">
        <f>0.085</f>
        <v>8.5000000000000006E-2</v>
      </c>
      <c r="E47" s="206">
        <f t="shared" si="2"/>
        <v>1.02</v>
      </c>
      <c r="F47" s="386"/>
      <c r="G47" s="173"/>
      <c r="H47" s="201">
        <f>SUM(C44:C47)</f>
        <v>0</v>
      </c>
    </row>
    <row r="48" spans="1:8" ht="14.25">
      <c r="A48" s="613" t="s">
        <v>531</v>
      </c>
      <c r="B48" s="613"/>
      <c r="C48" s="613"/>
      <c r="D48" s="613"/>
      <c r="E48" s="613"/>
      <c r="F48" s="613"/>
      <c r="G48" s="173"/>
    </row>
    <row r="49" spans="1:8" ht="18.75" customHeight="1">
      <c r="A49" s="379" t="s">
        <v>39</v>
      </c>
      <c r="B49" s="211">
        <f>B47</f>
        <v>0</v>
      </c>
      <c r="C49" s="206">
        <f t="shared" ref="C49:C68" si="5">D49*B49*12/1000</f>
        <v>0</v>
      </c>
      <c r="D49" s="381">
        <v>1.0168999999999999</v>
      </c>
      <c r="E49" s="206">
        <f t="shared" si="2"/>
        <v>12.2028</v>
      </c>
      <c r="F49" s="386"/>
      <c r="G49" s="173"/>
    </row>
    <row r="50" spans="1:8" ht="45.75" customHeight="1">
      <c r="A50" s="379" t="s">
        <v>300</v>
      </c>
      <c r="B50" s="211">
        <f t="shared" ref="B50:B61" si="6">B49</f>
        <v>0</v>
      </c>
      <c r="C50" s="206">
        <f t="shared" si="5"/>
        <v>0</v>
      </c>
      <c r="D50" s="381">
        <v>0.33500000000000002</v>
      </c>
      <c r="E50" s="206">
        <f t="shared" si="2"/>
        <v>4.0200000000000005</v>
      </c>
      <c r="F50" s="386"/>
      <c r="G50" s="173"/>
    </row>
    <row r="51" spans="1:8" ht="18" hidden="1" customHeight="1">
      <c r="A51" s="379" t="s">
        <v>534</v>
      </c>
      <c r="B51" s="211">
        <f t="shared" si="6"/>
        <v>0</v>
      </c>
      <c r="C51" s="206">
        <f t="shared" si="5"/>
        <v>0</v>
      </c>
      <c r="D51" s="381"/>
      <c r="E51" s="206">
        <f t="shared" si="2"/>
        <v>0</v>
      </c>
      <c r="F51" s="386"/>
      <c r="G51" s="173"/>
    </row>
    <row r="52" spans="1:8" ht="30" hidden="1" customHeight="1">
      <c r="A52" s="379" t="s">
        <v>535</v>
      </c>
      <c r="B52" s="211">
        <f t="shared" si="6"/>
        <v>0</v>
      </c>
      <c r="C52" s="206">
        <f t="shared" si="5"/>
        <v>0</v>
      </c>
      <c r="D52" s="381"/>
      <c r="E52" s="206">
        <f t="shared" si="2"/>
        <v>0</v>
      </c>
      <c r="F52" s="386"/>
      <c r="G52" s="173"/>
    </row>
    <row r="53" spans="1:8" ht="59.25" hidden="1" customHeight="1">
      <c r="A53" s="379" t="s">
        <v>536</v>
      </c>
      <c r="B53" s="211">
        <f t="shared" si="6"/>
        <v>0</v>
      </c>
      <c r="C53" s="206">
        <f t="shared" si="5"/>
        <v>0</v>
      </c>
      <c r="D53" s="381"/>
      <c r="E53" s="206">
        <f t="shared" si="2"/>
        <v>0</v>
      </c>
      <c r="F53" s="386"/>
      <c r="G53" s="173"/>
    </row>
    <row r="54" spans="1:8" ht="30" hidden="1" customHeight="1">
      <c r="A54" s="379" t="s">
        <v>537</v>
      </c>
      <c r="B54" s="211">
        <f t="shared" si="6"/>
        <v>0</v>
      </c>
      <c r="C54" s="206">
        <f t="shared" si="5"/>
        <v>0</v>
      </c>
      <c r="D54" s="381"/>
      <c r="E54" s="206">
        <f t="shared" si="2"/>
        <v>0</v>
      </c>
      <c r="F54" s="386"/>
      <c r="G54" s="173"/>
    </row>
    <row r="55" spans="1:8" ht="30.75" hidden="1" customHeight="1">
      <c r="A55" s="379" t="s">
        <v>538</v>
      </c>
      <c r="B55" s="211">
        <f t="shared" si="6"/>
        <v>0</v>
      </c>
      <c r="C55" s="206">
        <f t="shared" si="5"/>
        <v>0</v>
      </c>
      <c r="D55" s="211"/>
      <c r="E55" s="206">
        <f t="shared" si="2"/>
        <v>0</v>
      </c>
      <c r="F55" s="386"/>
      <c r="G55" s="173"/>
    </row>
    <row r="56" spans="1:8" ht="29.25" hidden="1" customHeight="1">
      <c r="A56" s="379" t="s">
        <v>539</v>
      </c>
      <c r="B56" s="211">
        <f t="shared" si="6"/>
        <v>0</v>
      </c>
      <c r="C56" s="206">
        <f t="shared" si="5"/>
        <v>0</v>
      </c>
      <c r="D56" s="381"/>
      <c r="E56" s="206">
        <f t="shared" si="2"/>
        <v>0</v>
      </c>
      <c r="F56" s="386"/>
      <c r="G56" s="173"/>
    </row>
    <row r="57" spans="1:8" ht="30.75" hidden="1" customHeight="1">
      <c r="A57" s="379" t="s">
        <v>450</v>
      </c>
      <c r="B57" s="211">
        <f t="shared" si="6"/>
        <v>0</v>
      </c>
      <c r="C57" s="206">
        <f t="shared" si="5"/>
        <v>0</v>
      </c>
      <c r="D57" s="381"/>
      <c r="E57" s="206">
        <f t="shared" si="2"/>
        <v>0</v>
      </c>
      <c r="F57" s="386"/>
      <c r="G57" s="173"/>
    </row>
    <row r="58" spans="1:8" ht="45.75" hidden="1" customHeight="1">
      <c r="A58" s="379" t="s">
        <v>1</v>
      </c>
      <c r="B58" s="211">
        <f t="shared" si="6"/>
        <v>0</v>
      </c>
      <c r="C58" s="206">
        <f t="shared" si="5"/>
        <v>0</v>
      </c>
      <c r="D58" s="381"/>
      <c r="E58" s="206">
        <f t="shared" si="2"/>
        <v>0</v>
      </c>
      <c r="F58" s="386"/>
      <c r="G58" s="173"/>
    </row>
    <row r="59" spans="1:8" ht="31.5" hidden="1" customHeight="1">
      <c r="A59" s="379" t="s">
        <v>2</v>
      </c>
      <c r="B59" s="211">
        <f t="shared" si="6"/>
        <v>0</v>
      </c>
      <c r="C59" s="206">
        <f t="shared" si="5"/>
        <v>0</v>
      </c>
      <c r="D59" s="381"/>
      <c r="E59" s="206">
        <f t="shared" si="2"/>
        <v>0</v>
      </c>
      <c r="F59" s="386"/>
      <c r="G59" s="173"/>
    </row>
    <row r="60" spans="1:8" ht="31.5" customHeight="1">
      <c r="A60" s="379" t="s">
        <v>362</v>
      </c>
      <c r="B60" s="211">
        <f t="shared" si="6"/>
        <v>0</v>
      </c>
      <c r="C60" s="206">
        <f t="shared" si="5"/>
        <v>0</v>
      </c>
      <c r="D60" s="381">
        <v>7.2099999999999997E-2</v>
      </c>
      <c r="E60" s="206">
        <f t="shared" si="2"/>
        <v>0.86519999999999997</v>
      </c>
      <c r="F60" s="386"/>
      <c r="G60" s="173"/>
    </row>
    <row r="61" spans="1:8" ht="34.5" hidden="1" customHeight="1">
      <c r="A61" s="379" t="s">
        <v>4</v>
      </c>
      <c r="B61" s="211">
        <f t="shared" si="6"/>
        <v>0</v>
      </c>
      <c r="C61" s="206">
        <f t="shared" si="5"/>
        <v>0</v>
      </c>
      <c r="D61" s="381"/>
      <c r="E61" s="206">
        <f t="shared" si="2"/>
        <v>0</v>
      </c>
      <c r="F61" s="386"/>
      <c r="G61" s="173"/>
      <c r="H61" s="201">
        <f>SUM(C49:C61)</f>
        <v>0</v>
      </c>
    </row>
    <row r="62" spans="1:8" ht="18.75" hidden="1" customHeight="1">
      <c r="A62" s="613" t="s">
        <v>5</v>
      </c>
      <c r="B62" s="613"/>
      <c r="C62" s="613"/>
      <c r="D62" s="613"/>
      <c r="E62" s="613"/>
      <c r="F62" s="613"/>
      <c r="G62" s="173"/>
    </row>
    <row r="63" spans="1:8" ht="30" hidden="1" customHeight="1">
      <c r="A63" s="379" t="s">
        <v>6</v>
      </c>
      <c r="B63" s="211">
        <f>B61</f>
        <v>0</v>
      </c>
      <c r="C63" s="206">
        <f t="shared" si="5"/>
        <v>0</v>
      </c>
      <c r="D63" s="381"/>
      <c r="E63" s="206">
        <f t="shared" si="2"/>
        <v>0</v>
      </c>
      <c r="F63" s="211"/>
      <c r="G63" s="173"/>
    </row>
    <row r="64" spans="1:8" ht="30.75" hidden="1" customHeight="1">
      <c r="A64" s="379" t="s">
        <v>7</v>
      </c>
      <c r="B64" s="211">
        <f>B63</f>
        <v>0</v>
      </c>
      <c r="C64" s="206">
        <f t="shared" si="5"/>
        <v>0</v>
      </c>
      <c r="D64" s="381"/>
      <c r="E64" s="206">
        <f t="shared" si="2"/>
        <v>0</v>
      </c>
      <c r="F64" s="211"/>
      <c r="G64" s="173"/>
    </row>
    <row r="65" spans="1:10" ht="30.75" hidden="1" customHeight="1">
      <c r="A65" s="379" t="s">
        <v>8</v>
      </c>
      <c r="B65" s="211">
        <f>B64</f>
        <v>0</v>
      </c>
      <c r="C65" s="206">
        <f t="shared" si="5"/>
        <v>0</v>
      </c>
      <c r="D65" s="211"/>
      <c r="E65" s="206">
        <f t="shared" si="2"/>
        <v>0</v>
      </c>
      <c r="F65" s="211"/>
      <c r="G65" s="173"/>
    </row>
    <row r="66" spans="1:10" ht="30.75" hidden="1" customHeight="1">
      <c r="A66" s="379" t="s">
        <v>9</v>
      </c>
      <c r="B66" s="211">
        <f>B65</f>
        <v>0</v>
      </c>
      <c r="C66" s="206">
        <f t="shared" si="5"/>
        <v>0</v>
      </c>
      <c r="D66" s="211"/>
      <c r="E66" s="206">
        <f t="shared" si="2"/>
        <v>0</v>
      </c>
      <c r="F66" s="211"/>
      <c r="G66" s="173"/>
    </row>
    <row r="67" spans="1:10" ht="30" hidden="1" customHeight="1">
      <c r="A67" s="379" t="s">
        <v>451</v>
      </c>
      <c r="B67" s="211">
        <f>B66</f>
        <v>0</v>
      </c>
      <c r="C67" s="206">
        <f t="shared" si="5"/>
        <v>0</v>
      </c>
      <c r="D67" s="381"/>
      <c r="E67" s="206">
        <f t="shared" si="2"/>
        <v>0</v>
      </c>
      <c r="F67" s="211"/>
      <c r="G67" s="173"/>
      <c r="H67" s="201">
        <f>SUM(C63:C67)</f>
        <v>0</v>
      </c>
    </row>
    <row r="68" spans="1:10" ht="29.25" hidden="1" customHeight="1">
      <c r="A68" s="379" t="s">
        <v>11</v>
      </c>
      <c r="B68" s="211">
        <f>B67</f>
        <v>0</v>
      </c>
      <c r="C68" s="206">
        <f t="shared" si="5"/>
        <v>0</v>
      </c>
      <c r="D68" s="211"/>
      <c r="E68" s="206">
        <f t="shared" si="2"/>
        <v>0</v>
      </c>
      <c r="F68" s="211"/>
      <c r="G68" s="173"/>
    </row>
    <row r="69" spans="1:10" ht="14.25" hidden="1">
      <c r="A69" s="613" t="s">
        <v>12</v>
      </c>
      <c r="B69" s="613"/>
      <c r="C69" s="613"/>
      <c r="D69" s="613"/>
      <c r="E69" s="613"/>
      <c r="F69" s="613"/>
      <c r="G69" s="173"/>
    </row>
    <row r="70" spans="1:10" ht="30.75" hidden="1" customHeight="1">
      <c r="A70" s="379" t="s">
        <v>13</v>
      </c>
      <c r="B70" s="211">
        <f>B68</f>
        <v>0</v>
      </c>
      <c r="C70" s="206">
        <f>D70*B70*12/1000</f>
        <v>0</v>
      </c>
      <c r="D70" s="381"/>
      <c r="E70" s="206">
        <f t="shared" si="2"/>
        <v>0</v>
      </c>
      <c r="F70" s="386"/>
      <c r="G70" s="173"/>
    </row>
    <row r="71" spans="1:10" ht="18" hidden="1" customHeight="1">
      <c r="A71" s="379" t="s">
        <v>14</v>
      </c>
      <c r="B71" s="211">
        <f>B70</f>
        <v>0</v>
      </c>
      <c r="C71" s="206">
        <f>D71*B71*12/1000</f>
        <v>0</v>
      </c>
      <c r="D71" s="381"/>
      <c r="E71" s="206">
        <f t="shared" si="2"/>
        <v>0</v>
      </c>
      <c r="F71" s="386"/>
      <c r="G71" s="173"/>
    </row>
    <row r="72" spans="1:10" ht="33" hidden="1" customHeight="1">
      <c r="A72" s="379" t="s">
        <v>15</v>
      </c>
      <c r="B72" s="211">
        <f>B71</f>
        <v>0</v>
      </c>
      <c r="C72" s="206">
        <f>D72*B72*12/1000</f>
        <v>0</v>
      </c>
      <c r="D72" s="381"/>
      <c r="E72" s="206">
        <f t="shared" si="2"/>
        <v>0</v>
      </c>
      <c r="F72" s="386"/>
      <c r="G72" s="173"/>
      <c r="H72" s="201">
        <f>SUM(C71:C72)</f>
        <v>0</v>
      </c>
    </row>
    <row r="73" spans="1:10" ht="15" hidden="1">
      <c r="A73" s="379" t="s">
        <v>16</v>
      </c>
      <c r="B73" s="211">
        <f>B72</f>
        <v>0</v>
      </c>
      <c r="C73" s="206">
        <f>D73*B73*12/1000</f>
        <v>0</v>
      </c>
      <c r="D73" s="381"/>
      <c r="E73" s="206">
        <f t="shared" si="2"/>
        <v>0</v>
      </c>
      <c r="F73" s="386"/>
      <c r="G73" s="173"/>
    </row>
    <row r="74" spans="1:10" ht="14.25" hidden="1">
      <c r="A74" s="613" t="s">
        <v>17</v>
      </c>
      <c r="B74" s="613"/>
      <c r="C74" s="613"/>
      <c r="D74" s="613"/>
      <c r="E74" s="613"/>
      <c r="F74" s="613"/>
      <c r="G74" s="173"/>
    </row>
    <row r="75" spans="1:10" ht="45" hidden="1">
      <c r="A75" s="379" t="s">
        <v>19</v>
      </c>
      <c r="B75" s="211">
        <f>B60</f>
        <v>0</v>
      </c>
      <c r="C75" s="206">
        <f>D75*B75*12/1000</f>
        <v>0</v>
      </c>
      <c r="D75" s="211"/>
      <c r="E75" s="206">
        <f t="shared" si="2"/>
        <v>0</v>
      </c>
      <c r="F75" s="386"/>
      <c r="G75" s="173"/>
    </row>
    <row r="76" spans="1:10" ht="15" hidden="1">
      <c r="A76" s="379" t="s">
        <v>41</v>
      </c>
      <c r="B76" s="211">
        <f>B60</f>
        <v>0</v>
      </c>
      <c r="C76" s="206">
        <f>D76*B76*12/1000</f>
        <v>0</v>
      </c>
      <c r="D76" s="211"/>
      <c r="E76" s="206">
        <f t="shared" si="2"/>
        <v>0</v>
      </c>
      <c r="F76" s="386"/>
      <c r="G76" s="173"/>
    </row>
    <row r="77" spans="1:10" ht="14.25">
      <c r="A77" s="584" t="s">
        <v>21</v>
      </c>
      <c r="B77" s="584"/>
      <c r="C77" s="584"/>
      <c r="D77" s="584"/>
      <c r="E77" s="584"/>
      <c r="F77" s="584"/>
      <c r="G77" s="584"/>
    </row>
    <row r="78" spans="1:10" ht="12.75" customHeight="1">
      <c r="A78" s="618" t="s">
        <v>22</v>
      </c>
      <c r="B78" s="619">
        <f>B73</f>
        <v>0</v>
      </c>
      <c r="C78" s="616">
        <f>D78*B78*12/1000</f>
        <v>0</v>
      </c>
      <c r="D78" s="615">
        <f>0.2609</f>
        <v>0.26090000000000002</v>
      </c>
      <c r="E78" s="616">
        <f>D78*12</f>
        <v>3.1308000000000002</v>
      </c>
      <c r="F78" s="613"/>
      <c r="G78" s="613"/>
    </row>
    <row r="79" spans="1:10" ht="16.5" customHeight="1">
      <c r="A79" s="618"/>
      <c r="B79" s="619"/>
      <c r="C79" s="617"/>
      <c r="D79" s="615"/>
      <c r="E79" s="617"/>
      <c r="F79" s="613"/>
      <c r="G79" s="613"/>
      <c r="J79" s="359">
        <f>C78+C90+C91</f>
        <v>0</v>
      </c>
    </row>
    <row r="80" spans="1:10" ht="32.25" hidden="1" customHeight="1">
      <c r="A80" s="379" t="s">
        <v>42</v>
      </c>
      <c r="B80" s="211">
        <f>B78</f>
        <v>0</v>
      </c>
      <c r="C80" s="206">
        <f>D80*B80*12/1000</f>
        <v>0</v>
      </c>
      <c r="D80" s="381"/>
      <c r="E80" s="206">
        <f>D80*12</f>
        <v>0</v>
      </c>
      <c r="F80" s="644"/>
      <c r="G80" s="644"/>
      <c r="H80" s="201">
        <f>SUM(C78:C80)</f>
        <v>0</v>
      </c>
    </row>
    <row r="81" spans="1:10" ht="14.25" hidden="1">
      <c r="A81" s="613" t="s">
        <v>45</v>
      </c>
      <c r="B81" s="613"/>
      <c r="C81" s="613"/>
      <c r="D81" s="613"/>
      <c r="E81" s="613"/>
      <c r="F81" s="613"/>
      <c r="G81" s="362"/>
    </row>
    <row r="82" spans="1:10" ht="33.75" hidden="1" customHeight="1">
      <c r="A82" s="379" t="s">
        <v>46</v>
      </c>
      <c r="B82" s="211">
        <f>B80</f>
        <v>0</v>
      </c>
      <c r="C82" s="206">
        <f>D82*B82*12/1000</f>
        <v>0</v>
      </c>
      <c r="D82" s="211"/>
      <c r="E82" s="206">
        <f>D82*12</f>
        <v>0</v>
      </c>
      <c r="F82" s="386"/>
      <c r="G82" s="362"/>
      <c r="H82" s="201">
        <f>SUM(C82:C82)</f>
        <v>0</v>
      </c>
    </row>
    <row r="83" spans="1:10" ht="14.25">
      <c r="A83" s="613" t="s">
        <v>49</v>
      </c>
      <c r="B83" s="613"/>
      <c r="C83" s="613"/>
      <c r="D83" s="613"/>
      <c r="E83" s="613"/>
      <c r="F83" s="613"/>
      <c r="G83" s="362"/>
    </row>
    <row r="84" spans="1:10" ht="49.5" customHeight="1">
      <c r="A84" s="379" t="s">
        <v>299</v>
      </c>
      <c r="B84" s="211">
        <f>B82</f>
        <v>0</v>
      </c>
      <c r="C84" s="206">
        <f>D84*B84*12/1000</f>
        <v>0</v>
      </c>
      <c r="D84" s="381">
        <v>7.8100000000000003E-2</v>
      </c>
      <c r="E84" s="206">
        <f t="shared" ref="E84:E92" si="7">D84*12</f>
        <v>0.93720000000000003</v>
      </c>
      <c r="F84" s="386"/>
      <c r="G84" s="362"/>
      <c r="J84" s="355">
        <f>C84</f>
        <v>0</v>
      </c>
    </row>
    <row r="85" spans="1:10" ht="49.5" hidden="1" customHeight="1">
      <c r="A85" s="379" t="s">
        <v>51</v>
      </c>
      <c r="B85" s="211">
        <f>B84</f>
        <v>0</v>
      </c>
      <c r="C85" s="206">
        <f>D85*B85*12/1000</f>
        <v>0</v>
      </c>
      <c r="D85" s="381"/>
      <c r="E85" s="206">
        <f t="shared" si="7"/>
        <v>0</v>
      </c>
      <c r="F85" s="386"/>
      <c r="G85" s="362"/>
    </row>
    <row r="86" spans="1:10" ht="33" hidden="1" customHeight="1">
      <c r="A86" s="379" t="s">
        <v>52</v>
      </c>
      <c r="B86" s="211">
        <f>B85</f>
        <v>0</v>
      </c>
      <c r="C86" s="206">
        <f>D86*B86*12/1000</f>
        <v>0</v>
      </c>
      <c r="D86" s="211"/>
      <c r="E86" s="206">
        <f t="shared" si="7"/>
        <v>0</v>
      </c>
      <c r="F86" s="386"/>
      <c r="G86" s="362"/>
    </row>
    <row r="87" spans="1:10" ht="47.25" hidden="1" customHeight="1">
      <c r="A87" s="379" t="s">
        <v>53</v>
      </c>
      <c r="B87" s="211">
        <f>B86</f>
        <v>0</v>
      </c>
      <c r="C87" s="206">
        <f>D87*B87*12/1000</f>
        <v>0</v>
      </c>
      <c r="D87" s="381"/>
      <c r="E87" s="206">
        <f t="shared" si="7"/>
        <v>0</v>
      </c>
      <c r="F87" s="386"/>
      <c r="G87" s="362"/>
    </row>
    <row r="88" spans="1:10" ht="44.25" hidden="1" customHeight="1">
      <c r="A88" s="379" t="s">
        <v>54</v>
      </c>
      <c r="B88" s="211">
        <f>B87</f>
        <v>0</v>
      </c>
      <c r="C88" s="206">
        <f>D88*B88*12/1000</f>
        <v>0</v>
      </c>
      <c r="D88" s="211"/>
      <c r="E88" s="206">
        <f t="shared" si="7"/>
        <v>0</v>
      </c>
      <c r="F88" s="386"/>
      <c r="G88" s="362"/>
      <c r="H88" s="201">
        <f>SUM(C84:C88)</f>
        <v>0</v>
      </c>
    </row>
    <row r="89" spans="1:10" ht="14.25">
      <c r="A89" s="613" t="s">
        <v>55</v>
      </c>
      <c r="B89" s="613"/>
      <c r="C89" s="613"/>
      <c r="D89" s="613"/>
      <c r="E89" s="613"/>
      <c r="F89" s="613"/>
      <c r="G89" s="362"/>
    </row>
    <row r="90" spans="1:10" ht="31.5" customHeight="1">
      <c r="A90" s="379" t="s">
        <v>43</v>
      </c>
      <c r="B90" s="211">
        <f>B88</f>
        <v>0</v>
      </c>
      <c r="C90" s="206">
        <f>D90*B90*12/1000</f>
        <v>0</v>
      </c>
      <c r="D90" s="211">
        <f>0.07</f>
        <v>7.0000000000000007E-2</v>
      </c>
      <c r="E90" s="206">
        <f t="shared" si="7"/>
        <v>0.84000000000000008</v>
      </c>
      <c r="F90" s="386"/>
      <c r="G90" s="362"/>
    </row>
    <row r="91" spans="1:10" ht="32.25" customHeight="1">
      <c r="A91" s="379" t="s">
        <v>44</v>
      </c>
      <c r="B91" s="211">
        <f>B90</f>
        <v>0</v>
      </c>
      <c r="C91" s="206">
        <f>D91*B91*12/1000</f>
        <v>0</v>
      </c>
      <c r="D91" s="211">
        <f>0.14</f>
        <v>0.14000000000000001</v>
      </c>
      <c r="E91" s="206">
        <f t="shared" si="7"/>
        <v>1.6800000000000002</v>
      </c>
      <c r="F91" s="386"/>
      <c r="G91" s="362"/>
    </row>
    <row r="92" spans="1:10" ht="45" hidden="1" customHeight="1">
      <c r="A92" s="379" t="s">
        <v>69</v>
      </c>
      <c r="B92" s="211">
        <f>B91</f>
        <v>0</v>
      </c>
      <c r="C92" s="206">
        <f>D92*B92*12/1000</f>
        <v>0</v>
      </c>
      <c r="D92" s="211"/>
      <c r="E92" s="206">
        <f t="shared" si="7"/>
        <v>0</v>
      </c>
      <c r="F92" s="386"/>
      <c r="G92" s="173"/>
      <c r="H92" s="201">
        <f>SUM(C90:C92)</f>
        <v>0</v>
      </c>
    </row>
    <row r="93" spans="1:10" ht="14.25" hidden="1">
      <c r="A93" s="613" t="s">
        <v>59</v>
      </c>
      <c r="B93" s="613"/>
      <c r="C93" s="613"/>
      <c r="D93" s="613"/>
      <c r="E93" s="613"/>
      <c r="F93" s="613"/>
      <c r="G93" s="173"/>
    </row>
    <row r="94" spans="1:10" ht="15" hidden="1">
      <c r="A94" s="379" t="s">
        <v>61</v>
      </c>
      <c r="B94" s="386">
        <f>B95</f>
        <v>0</v>
      </c>
      <c r="C94" s="206">
        <f>D94*B94*12/1000</f>
        <v>0</v>
      </c>
      <c r="D94" s="211"/>
      <c r="E94" s="206">
        <f>D94*12</f>
        <v>0</v>
      </c>
      <c r="F94" s="386"/>
      <c r="G94" s="173"/>
    </row>
    <row r="95" spans="1:10" ht="15" hidden="1">
      <c r="A95" s="379" t="s">
        <v>64</v>
      </c>
      <c r="B95" s="386">
        <f>B92</f>
        <v>0</v>
      </c>
      <c r="C95" s="206">
        <f>D95*B95*12/1000</f>
        <v>0</v>
      </c>
      <c r="D95" s="211"/>
      <c r="E95" s="206">
        <f>D95*12</f>
        <v>0</v>
      </c>
      <c r="F95" s="386"/>
      <c r="G95" s="173"/>
    </row>
    <row r="96" spans="1:10" ht="14.25">
      <c r="A96" s="387" t="s">
        <v>65</v>
      </c>
      <c r="B96" s="386"/>
      <c r="C96" s="388">
        <f>C13+C18+C22+C31+C33+C34+C40+C47+C49+C50+C60+C78+C84+C90+C91</f>
        <v>0</v>
      </c>
      <c r="D96" s="389">
        <f>D13+D16+D17+D18+D19+D20+D22+D23+D25+D26+D27+D28+D30+D31+D32+D33+D34+D35+D36+D37+D38+D40+D41+D42+D44+D45+D46+D47+D49+D50+D51+D52+D53+D54+D55+D56+D57+D58+D59+D60+D61+D63+D66+D67+D71+D72+D73+D75+D76+D78+D80+D82+D84+D85+D86+D87+D88+D90+D91+D92+D94+D95</f>
        <v>3.5651999999999995</v>
      </c>
      <c r="E96" s="388">
        <f>E13+E15+E16+E17+E18+E19+E20+E22+E23+E25+E26+E27+E28+E30+E31+E32+E33+E34+E35+E36+E37+E38+E40+E41+E42+E44+E45+E46+E47+E49+E50+E51+E52+E53+E54+E55+E56+E57+E58+E59+E60+E61+E63+E68+E70+E71+E72+E73+E75+E76+E78+E80+E82+E84+E85+E86+E87+E88+E90+E91+E92+E94+E95</f>
        <v>42.782400000000003</v>
      </c>
      <c r="F96" s="386"/>
      <c r="G96" s="173"/>
      <c r="H96" s="146" t="e">
        <f>C96/B95/12*1000</f>
        <v>#DIV/0!</v>
      </c>
    </row>
    <row r="97" spans="1:8" ht="30" customHeight="1">
      <c r="A97" s="390" t="s">
        <v>66</v>
      </c>
      <c r="B97" s="386"/>
      <c r="C97" s="389">
        <f>C96+об.малоэт!C25</f>
        <v>0</v>
      </c>
      <c r="D97" s="389">
        <f>D96+об.малоэт!D25</f>
        <v>11.217199999999998</v>
      </c>
      <c r="E97" s="388"/>
      <c r="F97" s="386"/>
      <c r="G97" s="173"/>
      <c r="H97" s="146" t="e">
        <f>C97/B95/12*1000</f>
        <v>#DIV/0!</v>
      </c>
    </row>
    <row r="98" spans="1:8" ht="14.25" hidden="1">
      <c r="A98" s="391" t="s">
        <v>84</v>
      </c>
      <c r="B98" s="116"/>
      <c r="C98" s="392">
        <f>C97/12</f>
        <v>0</v>
      </c>
      <c r="D98" s="116"/>
      <c r="E98" s="116"/>
      <c r="F98" s="116"/>
    </row>
    <row r="99" spans="1:8" ht="14.25">
      <c r="A99" s="393" t="s">
        <v>67</v>
      </c>
    </row>
    <row r="100" spans="1:8">
      <c r="A100" t="s">
        <v>367</v>
      </c>
    </row>
    <row r="101" spans="1:8" ht="14.25">
      <c r="A101" s="393"/>
    </row>
    <row r="102" spans="1:8">
      <c r="A102" s="394"/>
    </row>
  </sheetData>
  <mergeCells count="46">
    <mergeCell ref="A2:F2"/>
    <mergeCell ref="A3:F3"/>
    <mergeCell ref="A4:F4"/>
    <mergeCell ref="A5:F5"/>
    <mergeCell ref="A7:F7"/>
    <mergeCell ref="A8:F8"/>
    <mergeCell ref="A9:A11"/>
    <mergeCell ref="B9:B11"/>
    <mergeCell ref="D9:D11"/>
    <mergeCell ref="E9:E11"/>
    <mergeCell ref="F9:F11"/>
    <mergeCell ref="G9:G10"/>
    <mergeCell ref="A12:F12"/>
    <mergeCell ref="A13:A14"/>
    <mergeCell ref="B13:B14"/>
    <mergeCell ref="C13:C14"/>
    <mergeCell ref="D13:D14"/>
    <mergeCell ref="E13:E14"/>
    <mergeCell ref="F13:F14"/>
    <mergeCell ref="G13:G14"/>
    <mergeCell ref="A21:F21"/>
    <mergeCell ref="B23:B24"/>
    <mergeCell ref="C23:C24"/>
    <mergeCell ref="D23:D24"/>
    <mergeCell ref="E23:E24"/>
    <mergeCell ref="F23:F24"/>
    <mergeCell ref="G23:G24"/>
    <mergeCell ref="D78:D79"/>
    <mergeCell ref="E78:E79"/>
    <mergeCell ref="F78:G79"/>
    <mergeCell ref="A29:F29"/>
    <mergeCell ref="A39:F39"/>
    <mergeCell ref="A43:F43"/>
    <mergeCell ref="A48:F48"/>
    <mergeCell ref="A62:F62"/>
    <mergeCell ref="A69:F69"/>
    <mergeCell ref="A74:F74"/>
    <mergeCell ref="A77:G77"/>
    <mergeCell ref="A78:A79"/>
    <mergeCell ref="B78:B79"/>
    <mergeCell ref="C78:C79"/>
    <mergeCell ref="A93:F93"/>
    <mergeCell ref="F80:G80"/>
    <mergeCell ref="A81:F81"/>
    <mergeCell ref="A83:F83"/>
    <mergeCell ref="A89:F8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3"/>
  <sheetViews>
    <sheetView workbookViewId="0">
      <selection activeCell="F11" sqref="F11"/>
    </sheetView>
  </sheetViews>
  <sheetFormatPr defaultRowHeight="12.75"/>
  <cols>
    <col min="1" max="1" width="24.42578125" customWidth="1"/>
    <col min="2" max="2" width="22.7109375" customWidth="1"/>
    <col min="3" max="3" width="16.85546875" customWidth="1"/>
    <col min="4" max="4" width="17.85546875" customWidth="1"/>
    <col min="5" max="5" width="13.140625" customWidth="1"/>
    <col min="6" max="6" width="14.140625" style="65" customWidth="1"/>
  </cols>
  <sheetData>
    <row r="1" spans="1:8">
      <c r="A1" s="497" t="s">
        <v>434</v>
      </c>
      <c r="B1" s="497"/>
      <c r="C1" s="497"/>
      <c r="D1" s="497"/>
      <c r="E1" s="497"/>
    </row>
    <row r="2" spans="1:8" ht="15.75">
      <c r="A2" s="473" t="s">
        <v>26</v>
      </c>
      <c r="B2" s="473"/>
      <c r="C2" s="473"/>
      <c r="D2" s="473"/>
      <c r="E2" s="473"/>
    </row>
    <row r="3" spans="1:8" ht="15.75">
      <c r="A3" s="436" t="s">
        <v>307</v>
      </c>
      <c r="B3" s="436"/>
      <c r="C3" s="436"/>
      <c r="D3" s="436"/>
      <c r="E3" s="436"/>
    </row>
    <row r="4" spans="1:8" ht="24" customHeight="1">
      <c r="A4" s="584" t="s">
        <v>437</v>
      </c>
      <c r="B4" s="428" t="s">
        <v>438</v>
      </c>
      <c r="C4" s="188" t="s">
        <v>439</v>
      </c>
      <c r="D4" s="191" t="s">
        <v>454</v>
      </c>
      <c r="E4" s="601" t="s">
        <v>458</v>
      </c>
      <c r="F4" s="589" t="s">
        <v>83</v>
      </c>
    </row>
    <row r="5" spans="1:8" ht="14.25">
      <c r="A5" s="584"/>
      <c r="B5" s="428"/>
      <c r="C5" s="189" t="s">
        <v>440</v>
      </c>
      <c r="D5" s="192" t="s">
        <v>455</v>
      </c>
      <c r="E5" s="602"/>
      <c r="F5" s="589"/>
    </row>
    <row r="6" spans="1:8" ht="14.25" customHeight="1">
      <c r="A6" s="584"/>
      <c r="B6" s="428"/>
      <c r="C6" s="189" t="s">
        <v>441</v>
      </c>
      <c r="D6" s="192" t="s">
        <v>456</v>
      </c>
      <c r="E6" s="602"/>
      <c r="F6" s="589"/>
    </row>
    <row r="7" spans="1:8" ht="15.75" customHeight="1">
      <c r="A7" s="584"/>
      <c r="B7" s="428"/>
      <c r="C7" s="190"/>
      <c r="D7" s="193" t="s">
        <v>457</v>
      </c>
      <c r="E7" s="602"/>
      <c r="F7" s="589"/>
    </row>
    <row r="8" spans="1:8" ht="24.75" customHeight="1">
      <c r="A8" s="584"/>
      <c r="B8" s="428"/>
      <c r="C8" s="10"/>
      <c r="D8" s="194"/>
      <c r="E8" s="437"/>
      <c r="F8" s="589"/>
    </row>
    <row r="9" spans="1:8" ht="16.5" hidden="1" customHeight="1">
      <c r="A9" s="611" t="s">
        <v>460</v>
      </c>
      <c r="B9" s="604"/>
      <c r="C9" s="651"/>
      <c r="D9" s="651"/>
      <c r="E9" s="612"/>
    </row>
    <row r="10" spans="1:8" ht="10.5" customHeight="1">
      <c r="A10" s="44" t="s">
        <v>461</v>
      </c>
      <c r="B10" s="46" t="s">
        <v>462</v>
      </c>
      <c r="C10" s="64">
        <f>D10*F10*12/1000</f>
        <v>0</v>
      </c>
      <c r="D10" s="62"/>
      <c r="E10" s="46"/>
      <c r="F10" s="69">
        <v>0</v>
      </c>
    </row>
    <row r="11" spans="1:8" ht="8.25" customHeight="1">
      <c r="A11" s="611" t="s">
        <v>463</v>
      </c>
      <c r="B11" s="604"/>
      <c r="C11" s="604"/>
      <c r="D11" s="604"/>
      <c r="E11" s="612"/>
    </row>
    <row r="12" spans="1:8" ht="12" customHeight="1">
      <c r="A12" s="186" t="s">
        <v>478</v>
      </c>
      <c r="B12" s="46" t="s">
        <v>464</v>
      </c>
      <c r="C12" s="64">
        <f>D12*F12*12/1000</f>
        <v>0</v>
      </c>
      <c r="D12" s="62"/>
      <c r="E12" s="46"/>
      <c r="F12" s="65">
        <f>F10</f>
        <v>0</v>
      </c>
    </row>
    <row r="13" spans="1:8" ht="12.75" customHeight="1">
      <c r="A13" s="185" t="s">
        <v>206</v>
      </c>
      <c r="B13" s="46" t="s">
        <v>464</v>
      </c>
      <c r="C13" s="64">
        <f>D13*F13*12/1000</f>
        <v>0</v>
      </c>
      <c r="D13" s="62"/>
      <c r="E13" s="46"/>
      <c r="F13" s="65">
        <f>F12</f>
        <v>0</v>
      </c>
    </row>
    <row r="14" spans="1:8" ht="14.25">
      <c r="A14" s="590" t="s">
        <v>74</v>
      </c>
      <c r="B14" s="591"/>
      <c r="C14" s="591"/>
      <c r="D14" s="591"/>
      <c r="E14" s="592"/>
    </row>
    <row r="15" spans="1:8" ht="30">
      <c r="A15" s="363" t="s">
        <v>205</v>
      </c>
      <c r="B15" s="364" t="s">
        <v>462</v>
      </c>
      <c r="C15" s="357">
        <f>D15*F15*12/1000</f>
        <v>0</v>
      </c>
      <c r="D15" s="358">
        <f>0.17</f>
        <v>0.17</v>
      </c>
      <c r="E15" s="356"/>
      <c r="F15" s="65">
        <f>F13</f>
        <v>0</v>
      </c>
      <c r="H15" s="359">
        <f>C15+C19+C21</f>
        <v>0</v>
      </c>
    </row>
    <row r="16" spans="1:8" ht="30" hidden="1">
      <c r="A16" s="363" t="s">
        <v>452</v>
      </c>
      <c r="B16" s="364" t="s">
        <v>453</v>
      </c>
      <c r="C16" s="357">
        <f>D16*F16*12/1000</f>
        <v>0</v>
      </c>
      <c r="D16" s="358"/>
      <c r="E16" s="356"/>
      <c r="F16" s="65">
        <f>F15</f>
        <v>0</v>
      </c>
    </row>
    <row r="17" spans="1:6" ht="16.5" customHeight="1">
      <c r="A17" s="646" t="s">
        <v>76</v>
      </c>
      <c r="B17" s="647"/>
      <c r="C17" s="647"/>
      <c r="D17" s="647"/>
      <c r="E17" s="648"/>
    </row>
    <row r="18" spans="1:6" ht="0.75" customHeight="1">
      <c r="A18" s="649" t="s">
        <v>467</v>
      </c>
      <c r="B18" s="360" t="s">
        <v>37</v>
      </c>
      <c r="C18" s="357">
        <f>D18*F18*12/1000</f>
        <v>0</v>
      </c>
      <c r="D18" s="358"/>
      <c r="E18" s="356"/>
      <c r="F18" s="65">
        <f>F16</f>
        <v>0</v>
      </c>
    </row>
    <row r="19" spans="1:6" ht="90.75" customHeight="1">
      <c r="A19" s="650"/>
      <c r="B19" s="365" t="s">
        <v>25</v>
      </c>
      <c r="C19" s="357">
        <f>D19*F19*12/1000</f>
        <v>0</v>
      </c>
      <c r="D19" s="358">
        <f>0.179*2</f>
        <v>0.35799999999999998</v>
      </c>
      <c r="E19" s="356"/>
      <c r="F19" s="65">
        <f>F18</f>
        <v>0</v>
      </c>
    </row>
    <row r="20" spans="1:6" ht="15.75" customHeight="1">
      <c r="A20" s="646" t="s">
        <v>77</v>
      </c>
      <c r="B20" s="647"/>
      <c r="C20" s="647"/>
      <c r="D20" s="647"/>
      <c r="E20" s="648"/>
    </row>
    <row r="21" spans="1:6" ht="38.25">
      <c r="A21" s="364" t="s">
        <v>473</v>
      </c>
      <c r="B21" s="366" t="s">
        <v>474</v>
      </c>
      <c r="C21" s="357">
        <f>D21*F21*12/1000</f>
        <v>0</v>
      </c>
      <c r="D21" s="358">
        <f>1.594</f>
        <v>1.5940000000000001</v>
      </c>
      <c r="E21" s="356"/>
      <c r="F21" s="65">
        <f>F19</f>
        <v>0</v>
      </c>
    </row>
    <row r="22" spans="1:6" ht="36" hidden="1">
      <c r="A22" s="182" t="s">
        <v>475</v>
      </c>
      <c r="B22" s="203" t="s">
        <v>476</v>
      </c>
      <c r="C22" s="195">
        <f>D22*F22*12/1000</f>
        <v>0</v>
      </c>
      <c r="D22" s="196"/>
      <c r="E22" s="181"/>
      <c r="F22" s="65">
        <f>F20</f>
        <v>0</v>
      </c>
    </row>
    <row r="23" spans="1:6" ht="30">
      <c r="A23" s="72" t="s">
        <v>64</v>
      </c>
      <c r="B23" s="203"/>
      <c r="C23" s="195">
        <f>D23*F23*12/1000</f>
        <v>0</v>
      </c>
      <c r="D23" s="196">
        <f>обяз!D25</f>
        <v>3.19</v>
      </c>
      <c r="E23" s="181"/>
      <c r="F23" s="65">
        <f>F21</f>
        <v>0</v>
      </c>
    </row>
    <row r="24" spans="1:6" ht="30">
      <c r="A24" s="372" t="s">
        <v>325</v>
      </c>
      <c r="B24" s="203"/>
      <c r="C24" s="195">
        <f>D24*F24*12/1000</f>
        <v>0</v>
      </c>
      <c r="D24" s="196">
        <f>обяз!D26</f>
        <v>2.34</v>
      </c>
      <c r="E24" s="181"/>
      <c r="F24" s="65">
        <f>F23</f>
        <v>0</v>
      </c>
    </row>
    <row r="25" spans="1:6" ht="14.25">
      <c r="A25" s="197" t="s">
        <v>477</v>
      </c>
      <c r="B25" s="197"/>
      <c r="C25" s="63">
        <f>C15+C19+C21+C22+C23+C24</f>
        <v>0</v>
      </c>
      <c r="D25" s="68">
        <f>D15+D19+D21+D22+D23+D24</f>
        <v>7.6519999999999992</v>
      </c>
      <c r="E25" s="187"/>
      <c r="F25" s="69" t="e">
        <f>C25/12/F23*1000</f>
        <v>#DIV/0!</v>
      </c>
    </row>
    <row r="26" spans="1:6">
      <c r="A26" s="2"/>
      <c r="C26" s="395">
        <f>C25/12</f>
        <v>0</v>
      </c>
    </row>
    <row r="27" spans="1:6">
      <c r="A27" t="s">
        <v>367</v>
      </c>
    </row>
    <row r="77" ht="42" customHeight="1"/>
    <row r="81" ht="16.5" customHeight="1"/>
    <row r="153" ht="16.5" customHeight="1"/>
  </sheetData>
  <mergeCells count="13">
    <mergeCell ref="A1:E1"/>
    <mergeCell ref="A2:E2"/>
    <mergeCell ref="A3:E3"/>
    <mergeCell ref="A4:A8"/>
    <mergeCell ref="B4:B8"/>
    <mergeCell ref="E4:E8"/>
    <mergeCell ref="A17:E17"/>
    <mergeCell ref="A18:A19"/>
    <mergeCell ref="A20:E20"/>
    <mergeCell ref="F4:F8"/>
    <mergeCell ref="A9:E9"/>
    <mergeCell ref="A11:E11"/>
    <mergeCell ref="A14:E14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9"/>
  <dimension ref="A2:H102"/>
  <sheetViews>
    <sheetView workbookViewId="0">
      <selection activeCell="A7" sqref="A7:G100"/>
    </sheetView>
  </sheetViews>
  <sheetFormatPr defaultRowHeight="12.75"/>
  <cols>
    <col min="1" max="1" width="33.42578125" customWidth="1"/>
    <col min="2" max="2" width="10.7109375" customWidth="1"/>
    <col min="3" max="3" width="11.85546875" customWidth="1"/>
    <col min="4" max="5" width="11.42578125" customWidth="1"/>
    <col min="6" max="6" width="11.28515625" customWidth="1"/>
    <col min="7" max="7" width="0.140625" customWidth="1"/>
  </cols>
  <sheetData>
    <row r="2" spans="1:7" ht="15.75" hidden="1">
      <c r="A2" s="473" t="s">
        <v>434</v>
      </c>
      <c r="B2" s="473"/>
      <c r="C2" s="473"/>
      <c r="D2" s="473"/>
      <c r="E2" s="473"/>
      <c r="F2" s="473"/>
    </row>
    <row r="3" spans="1:7" ht="15.75" hidden="1">
      <c r="A3" s="473" t="s">
        <v>480</v>
      </c>
      <c r="B3" s="473"/>
      <c r="C3" s="473"/>
      <c r="D3" s="473"/>
      <c r="E3" s="473"/>
      <c r="F3" s="473"/>
    </row>
    <row r="4" spans="1:7" ht="15.75" hidden="1">
      <c r="A4" s="473" t="s">
        <v>481</v>
      </c>
      <c r="B4" s="473"/>
      <c r="C4" s="473"/>
      <c r="D4" s="473"/>
      <c r="E4" s="473"/>
      <c r="F4" s="473"/>
    </row>
    <row r="5" spans="1:7" ht="15.75" hidden="1">
      <c r="A5" s="473" t="s">
        <v>482</v>
      </c>
      <c r="B5" s="473"/>
      <c r="C5" s="473"/>
      <c r="D5" s="473"/>
      <c r="E5" s="473"/>
      <c r="F5" s="473"/>
    </row>
    <row r="6" spans="1:7" ht="15.75" hidden="1">
      <c r="A6" s="1"/>
    </row>
    <row r="7" spans="1:7" ht="15.75">
      <c r="A7" s="473" t="s">
        <v>483</v>
      </c>
      <c r="B7" s="473"/>
      <c r="C7" s="473"/>
      <c r="D7" s="473"/>
      <c r="E7" s="473"/>
      <c r="F7" s="473"/>
    </row>
    <row r="8" spans="1:7" ht="14.25">
      <c r="A8" s="664" t="s">
        <v>204</v>
      </c>
      <c r="B8" s="664"/>
      <c r="C8" s="664"/>
      <c r="D8" s="664"/>
      <c r="E8" s="664"/>
      <c r="F8" s="664"/>
    </row>
    <row r="9" spans="1:7" ht="28.5" customHeight="1">
      <c r="A9" s="652" t="s">
        <v>484</v>
      </c>
      <c r="B9" s="652" t="s">
        <v>485</v>
      </c>
      <c r="C9" s="59" t="s">
        <v>486</v>
      </c>
      <c r="D9" s="652" t="s">
        <v>489</v>
      </c>
      <c r="E9" s="652" t="s">
        <v>82</v>
      </c>
      <c r="F9" s="652" t="s">
        <v>458</v>
      </c>
      <c r="G9" s="621"/>
    </row>
    <row r="10" spans="1:7" ht="25.5">
      <c r="A10" s="653"/>
      <c r="B10" s="653"/>
      <c r="C10" s="60" t="s">
        <v>487</v>
      </c>
      <c r="D10" s="653"/>
      <c r="E10" s="653"/>
      <c r="F10" s="653"/>
      <c r="G10" s="621"/>
    </row>
    <row r="11" spans="1:7" ht="38.25">
      <c r="A11" s="654"/>
      <c r="B11" s="654"/>
      <c r="C11" s="61" t="s">
        <v>488</v>
      </c>
      <c r="D11" s="654"/>
      <c r="E11" s="654"/>
      <c r="F11" s="654"/>
      <c r="G11" s="26"/>
    </row>
    <row r="12" spans="1:7" ht="14.25">
      <c r="A12" s="611" t="s">
        <v>490</v>
      </c>
      <c r="B12" s="604"/>
      <c r="C12" s="604"/>
      <c r="D12" s="604"/>
      <c r="E12" s="604"/>
      <c r="F12" s="612"/>
      <c r="G12" s="26"/>
    </row>
    <row r="13" spans="1:7" ht="15" customHeight="1">
      <c r="A13" s="657" t="s">
        <v>443</v>
      </c>
      <c r="B13" s="661">
        <v>104144.5</v>
      </c>
      <c r="C13" s="660">
        <f>D13*B13*12/1000</f>
        <v>446.15503799999993</v>
      </c>
      <c r="D13" s="659">
        <v>0.35699999999999998</v>
      </c>
      <c r="E13" s="655">
        <f>D13*12</f>
        <v>4.2839999999999998</v>
      </c>
      <c r="F13" s="663"/>
      <c r="G13" s="614"/>
    </row>
    <row r="14" spans="1:7" ht="20.25" customHeight="1">
      <c r="A14" s="657"/>
      <c r="B14" s="662"/>
      <c r="C14" s="660"/>
      <c r="D14" s="659"/>
      <c r="E14" s="656"/>
      <c r="F14" s="663"/>
      <c r="G14" s="614"/>
    </row>
    <row r="15" spans="1:7" ht="45" hidden="1" customHeight="1">
      <c r="A15" s="72"/>
      <c r="B15" s="198">
        <f>B13</f>
        <v>104144.5</v>
      </c>
      <c r="C15" s="195">
        <f t="shared" ref="C15:C20" si="0">D15*B15*12/1000</f>
        <v>0</v>
      </c>
      <c r="D15" s="196"/>
      <c r="E15" s="195">
        <f>D15*12</f>
        <v>0</v>
      </c>
      <c r="F15" s="197"/>
      <c r="G15" s="173"/>
    </row>
    <row r="16" spans="1:7" ht="31.5" customHeight="1">
      <c r="A16" s="72" t="s">
        <v>444</v>
      </c>
      <c r="B16" s="181">
        <f>B15</f>
        <v>104144.5</v>
      </c>
      <c r="C16" s="195">
        <f t="shared" si="0"/>
        <v>2.3245052400000001</v>
      </c>
      <c r="D16" s="196">
        <f>0.0012*1.55</f>
        <v>1.8599999999999999E-3</v>
      </c>
      <c r="E16" s="195">
        <f t="shared" ref="E16:E22" si="1">D16*12</f>
        <v>2.232E-2</v>
      </c>
      <c r="F16" s="197"/>
      <c r="G16" s="173"/>
    </row>
    <row r="17" spans="1:8" ht="24" customHeight="1">
      <c r="A17" s="72" t="s">
        <v>494</v>
      </c>
      <c r="B17" s="181">
        <f>B16</f>
        <v>104144.5</v>
      </c>
      <c r="C17" s="195">
        <f t="shared" si="0"/>
        <v>4.84271925</v>
      </c>
      <c r="D17" s="196">
        <f>0.0025*1.55</f>
        <v>3.8750000000000004E-3</v>
      </c>
      <c r="E17" s="195">
        <f t="shared" si="1"/>
        <v>4.6500000000000007E-2</v>
      </c>
      <c r="F17" s="197"/>
      <c r="G17" s="173"/>
    </row>
    <row r="18" spans="1:8" ht="30" hidden="1">
      <c r="A18" s="72" t="s">
        <v>495</v>
      </c>
      <c r="B18" s="181">
        <f>B17</f>
        <v>104144.5</v>
      </c>
      <c r="C18" s="195">
        <f t="shared" si="0"/>
        <v>0</v>
      </c>
      <c r="D18" s="196"/>
      <c r="E18" s="195">
        <f t="shared" si="1"/>
        <v>0</v>
      </c>
      <c r="F18" s="197"/>
      <c r="G18" s="173"/>
    </row>
    <row r="19" spans="1:8" ht="30" hidden="1">
      <c r="A19" s="72" t="s">
        <v>496</v>
      </c>
      <c r="B19" s="181">
        <f>B18</f>
        <v>104144.5</v>
      </c>
      <c r="C19" s="195">
        <f t="shared" si="0"/>
        <v>0</v>
      </c>
      <c r="D19" s="196"/>
      <c r="E19" s="195">
        <f t="shared" si="1"/>
        <v>0</v>
      </c>
      <c r="F19" s="197"/>
      <c r="G19" s="173"/>
    </row>
    <row r="20" spans="1:8" ht="60">
      <c r="A20" s="72" t="s">
        <v>497</v>
      </c>
      <c r="B20" s="181">
        <f>B19</f>
        <v>104144.5</v>
      </c>
      <c r="C20" s="195">
        <f t="shared" si="0"/>
        <v>12.20365251</v>
      </c>
      <c r="D20" s="196">
        <f>0.0063*1.55</f>
        <v>9.7650000000000011E-3</v>
      </c>
      <c r="E20" s="195">
        <f t="shared" si="1"/>
        <v>0.11718000000000001</v>
      </c>
      <c r="F20" s="197"/>
      <c r="G20" s="173"/>
      <c r="H20" s="201">
        <f>SUM(C13:C20)</f>
        <v>465.52591499999994</v>
      </c>
    </row>
    <row r="21" spans="1:8" ht="14.25">
      <c r="A21" s="584" t="s">
        <v>498</v>
      </c>
      <c r="B21" s="584"/>
      <c r="C21" s="584"/>
      <c r="D21" s="584"/>
      <c r="E21" s="584"/>
      <c r="F21" s="584"/>
      <c r="G21" s="173"/>
    </row>
    <row r="22" spans="1:8" ht="60">
      <c r="A22" s="72" t="s">
        <v>445</v>
      </c>
      <c r="B22" s="181">
        <f>B20</f>
        <v>104144.5</v>
      </c>
      <c r="C22" s="195">
        <f>D22*B22*12/1000</f>
        <v>212.45478000000003</v>
      </c>
      <c r="D22" s="196">
        <v>0.17</v>
      </c>
      <c r="E22" s="195">
        <f t="shared" si="1"/>
        <v>2.04</v>
      </c>
      <c r="F22" s="187"/>
      <c r="G22" s="173"/>
    </row>
    <row r="23" spans="1:8" ht="16.5" hidden="1" customHeight="1">
      <c r="A23" s="72" t="s">
        <v>500</v>
      </c>
      <c r="B23" s="658">
        <f>B22</f>
        <v>104144.5</v>
      </c>
      <c r="C23" s="660">
        <f>D23*B23*12/1000</f>
        <v>0</v>
      </c>
      <c r="D23" s="659"/>
      <c r="E23" s="655">
        <f>D23*12</f>
        <v>0</v>
      </c>
      <c r="F23" s="584"/>
      <c r="G23" s="614"/>
    </row>
    <row r="24" spans="1:8" ht="13.5" hidden="1" customHeight="1">
      <c r="A24" s="72" t="s">
        <v>501</v>
      </c>
      <c r="B24" s="658"/>
      <c r="C24" s="660"/>
      <c r="D24" s="659"/>
      <c r="E24" s="656"/>
      <c r="F24" s="584"/>
      <c r="G24" s="614"/>
    </row>
    <row r="25" spans="1:8" ht="45" hidden="1" customHeight="1">
      <c r="A25" s="72" t="s">
        <v>502</v>
      </c>
      <c r="B25" s="181">
        <f>B22</f>
        <v>104144.5</v>
      </c>
      <c r="C25" s="195">
        <f>D25*B25*12/1000</f>
        <v>0</v>
      </c>
      <c r="D25" s="196"/>
      <c r="E25" s="195">
        <f t="shared" ref="E25:E73" si="2">D25*12</f>
        <v>0</v>
      </c>
      <c r="F25" s="187"/>
      <c r="G25" s="173"/>
    </row>
    <row r="26" spans="1:8" ht="45" hidden="1" customHeight="1">
      <c r="A26" s="72" t="s">
        <v>503</v>
      </c>
      <c r="B26" s="181">
        <f>B25</f>
        <v>104144.5</v>
      </c>
      <c r="C26" s="195">
        <f>D26*B26*12/1000</f>
        <v>0</v>
      </c>
      <c r="D26" s="196"/>
      <c r="E26" s="195">
        <f t="shared" si="2"/>
        <v>0</v>
      </c>
      <c r="F26" s="187"/>
      <c r="G26" s="173"/>
    </row>
    <row r="27" spans="1:8" ht="60">
      <c r="A27" s="72" t="s">
        <v>446</v>
      </c>
      <c r="B27" s="181">
        <f>B26</f>
        <v>104144.5</v>
      </c>
      <c r="C27" s="195">
        <f>D27*B27*12/1000</f>
        <v>4.6490104800000003</v>
      </c>
      <c r="D27" s="196">
        <f>0.0024*1.55</f>
        <v>3.7199999999999998E-3</v>
      </c>
      <c r="E27" s="195">
        <f t="shared" si="2"/>
        <v>4.4639999999999999E-2</v>
      </c>
      <c r="F27" s="187"/>
      <c r="G27" s="173"/>
    </row>
    <row r="28" spans="1:8" ht="30">
      <c r="A28" s="72" t="s">
        <v>507</v>
      </c>
      <c r="B28" s="181">
        <f>B27</f>
        <v>104144.5</v>
      </c>
      <c r="C28" s="195">
        <f>D28*B28*12/1000</f>
        <v>1278.4778820000001</v>
      </c>
      <c r="D28" s="181">
        <f>0.66*1.55</f>
        <v>1.0230000000000001</v>
      </c>
      <c r="E28" s="195">
        <f t="shared" si="2"/>
        <v>12.276000000000002</v>
      </c>
      <c r="F28" s="187"/>
      <c r="G28" s="173"/>
      <c r="H28" s="201">
        <f>SUM(C22:C28)</f>
        <v>1495.5816724800002</v>
      </c>
    </row>
    <row r="29" spans="1:8" ht="14.25">
      <c r="A29" s="584" t="s">
        <v>508</v>
      </c>
      <c r="B29" s="584"/>
      <c r="C29" s="584"/>
      <c r="D29" s="584"/>
      <c r="E29" s="584"/>
      <c r="F29" s="584"/>
      <c r="G29" s="173"/>
    </row>
    <row r="30" spans="1:8" ht="31.5" hidden="1" customHeight="1">
      <c r="A30" s="72" t="s">
        <v>509</v>
      </c>
      <c r="B30" s="181">
        <f>B28</f>
        <v>104144.5</v>
      </c>
      <c r="C30" s="195">
        <f>D30*B30*12/1000</f>
        <v>0</v>
      </c>
      <c r="D30" s="196"/>
      <c r="E30" s="195">
        <f t="shared" si="2"/>
        <v>0</v>
      </c>
      <c r="F30" s="181"/>
      <c r="G30" s="173"/>
    </row>
    <row r="31" spans="1:8" ht="72.75" customHeight="1">
      <c r="A31" s="72" t="s">
        <v>447</v>
      </c>
      <c r="B31" s="181">
        <f>B28</f>
        <v>104144.5</v>
      </c>
      <c r="C31" s="195">
        <f t="shared" ref="C31:C42" si="3">D31*B31*12/1000</f>
        <v>4.6490104800000003</v>
      </c>
      <c r="D31" s="196">
        <f>0.0024*1.55</f>
        <v>3.7199999999999998E-3</v>
      </c>
      <c r="E31" s="195">
        <f t="shared" si="2"/>
        <v>4.4639999999999999E-2</v>
      </c>
      <c r="F31" s="181"/>
      <c r="G31" s="173"/>
    </row>
    <row r="32" spans="1:8" ht="30" hidden="1" customHeight="1">
      <c r="A32" s="72" t="s">
        <v>511</v>
      </c>
      <c r="B32" s="181">
        <f t="shared" ref="B32:B38" si="4">B31</f>
        <v>104144.5</v>
      </c>
      <c r="C32" s="195">
        <f t="shared" si="3"/>
        <v>0</v>
      </c>
      <c r="D32" s="196"/>
      <c r="E32" s="195">
        <f t="shared" si="2"/>
        <v>0</v>
      </c>
      <c r="F32" s="181"/>
      <c r="G32" s="173"/>
    </row>
    <row r="33" spans="1:8" ht="30" customHeight="1">
      <c r="A33" s="72" t="s">
        <v>512</v>
      </c>
      <c r="B33" s="181">
        <f t="shared" si="4"/>
        <v>104144.5</v>
      </c>
      <c r="C33" s="195">
        <f t="shared" si="3"/>
        <v>174.33789299999998</v>
      </c>
      <c r="D33" s="196">
        <f>0.09*1.55</f>
        <v>0.13949999999999999</v>
      </c>
      <c r="E33" s="195">
        <f t="shared" si="2"/>
        <v>1.6739999999999999</v>
      </c>
      <c r="F33" s="181"/>
      <c r="G33" s="173"/>
    </row>
    <row r="34" spans="1:8" ht="59.25" customHeight="1">
      <c r="A34" s="72" t="s">
        <v>513</v>
      </c>
      <c r="B34" s="181">
        <f t="shared" si="4"/>
        <v>104144.5</v>
      </c>
      <c r="C34" s="195">
        <f>D34*B34*12/1000</f>
        <v>83.732178000000019</v>
      </c>
      <c r="D34" s="196">
        <v>6.7000000000000004E-2</v>
      </c>
      <c r="E34" s="195">
        <f t="shared" si="2"/>
        <v>0.80400000000000005</v>
      </c>
      <c r="F34" s="181"/>
      <c r="G34" s="173"/>
    </row>
    <row r="35" spans="1:8" ht="91.5" hidden="1" customHeight="1">
      <c r="A35" s="72" t="s">
        <v>514</v>
      </c>
      <c r="B35" s="181">
        <f t="shared" si="4"/>
        <v>104144.5</v>
      </c>
      <c r="C35" s="195">
        <f t="shared" si="3"/>
        <v>0</v>
      </c>
      <c r="D35" s="196"/>
      <c r="E35" s="195">
        <f t="shared" si="2"/>
        <v>0</v>
      </c>
      <c r="F35" s="181"/>
      <c r="G35" s="173"/>
    </row>
    <row r="36" spans="1:8" ht="45.75" hidden="1" customHeight="1">
      <c r="A36" s="72" t="s">
        <v>515</v>
      </c>
      <c r="B36" s="181">
        <f t="shared" si="4"/>
        <v>104144.5</v>
      </c>
      <c r="C36" s="195">
        <f t="shared" si="3"/>
        <v>0</v>
      </c>
      <c r="D36" s="196"/>
      <c r="E36" s="195">
        <f t="shared" si="2"/>
        <v>0</v>
      </c>
      <c r="F36" s="181"/>
      <c r="G36" s="173"/>
    </row>
    <row r="37" spans="1:8" ht="62.25" customHeight="1">
      <c r="A37" s="72" t="s">
        <v>448</v>
      </c>
      <c r="B37" s="181">
        <f t="shared" si="4"/>
        <v>104144.5</v>
      </c>
      <c r="C37" s="195">
        <f>D37*B37*12/1000</f>
        <v>4.6490104800000003</v>
      </c>
      <c r="D37" s="196">
        <f>0.0024*1.55</f>
        <v>3.7199999999999998E-3</v>
      </c>
      <c r="E37" s="195">
        <f t="shared" si="2"/>
        <v>4.4639999999999999E-2</v>
      </c>
      <c r="F37" s="181"/>
      <c r="G37" s="173"/>
    </row>
    <row r="38" spans="1:8" ht="28.5" customHeight="1">
      <c r="A38" s="72" t="s">
        <v>449</v>
      </c>
      <c r="B38" s="181">
        <f t="shared" si="4"/>
        <v>104144.5</v>
      </c>
      <c r="C38" s="195">
        <f t="shared" si="3"/>
        <v>542.38455600000009</v>
      </c>
      <c r="D38" s="196">
        <f>0.28*1.55</f>
        <v>0.43400000000000005</v>
      </c>
      <c r="E38" s="195">
        <f t="shared" si="2"/>
        <v>5.2080000000000002</v>
      </c>
      <c r="F38" s="181"/>
      <c r="G38" s="173"/>
      <c r="H38" s="201">
        <f>SUM(C31:C38)</f>
        <v>809.7526479600001</v>
      </c>
    </row>
    <row r="39" spans="1:8" ht="14.25">
      <c r="A39" s="584" t="s">
        <v>518</v>
      </c>
      <c r="B39" s="584"/>
      <c r="C39" s="584"/>
      <c r="D39" s="584"/>
      <c r="E39" s="584"/>
      <c r="F39" s="584"/>
      <c r="G39" s="173"/>
    </row>
    <row r="40" spans="1:8" ht="29.25" customHeight="1">
      <c r="A40" s="72" t="s">
        <v>31</v>
      </c>
      <c r="B40" s="181">
        <f>B38</f>
        <v>104144.5</v>
      </c>
      <c r="C40" s="195">
        <f t="shared" si="3"/>
        <v>9.6854385000000001</v>
      </c>
      <c r="D40" s="196">
        <f>0.005*1.55</f>
        <v>7.7500000000000008E-3</v>
      </c>
      <c r="E40" s="195">
        <f t="shared" si="2"/>
        <v>9.3000000000000013E-2</v>
      </c>
      <c r="F40" s="187"/>
      <c r="G40" s="173"/>
    </row>
    <row r="41" spans="1:8" ht="43.5" customHeight="1">
      <c r="A41" s="72" t="s">
        <v>520</v>
      </c>
      <c r="B41" s="181">
        <f>B40</f>
        <v>104144.5</v>
      </c>
      <c r="C41" s="195">
        <f t="shared" si="3"/>
        <v>49.395736349999993</v>
      </c>
      <c r="D41" s="196">
        <f>0.0255*1.55</f>
        <v>3.9524999999999998E-2</v>
      </c>
      <c r="E41" s="195">
        <f t="shared" si="2"/>
        <v>0.47429999999999994</v>
      </c>
      <c r="F41" s="187"/>
      <c r="G41" s="173"/>
      <c r="H41" s="201">
        <f>SUM(C40:C41)</f>
        <v>59.081174849999996</v>
      </c>
    </row>
    <row r="42" spans="1:8" ht="60" hidden="1">
      <c r="A42" s="72" t="s">
        <v>523</v>
      </c>
      <c r="B42" s="181">
        <f>B41</f>
        <v>104144.5</v>
      </c>
      <c r="C42" s="195">
        <f t="shared" si="3"/>
        <v>0</v>
      </c>
      <c r="D42" s="196"/>
      <c r="E42" s="195">
        <f t="shared" si="2"/>
        <v>0</v>
      </c>
      <c r="F42" s="187"/>
      <c r="G42" s="173"/>
    </row>
    <row r="43" spans="1:8" ht="14.25">
      <c r="A43" s="584" t="s">
        <v>524</v>
      </c>
      <c r="B43" s="584"/>
      <c r="C43" s="584"/>
      <c r="D43" s="584"/>
      <c r="E43" s="584"/>
      <c r="F43" s="584"/>
      <c r="G43" s="173"/>
    </row>
    <row r="44" spans="1:8" ht="44.25" customHeight="1">
      <c r="A44" s="72" t="s">
        <v>32</v>
      </c>
      <c r="B44" s="181">
        <f>B42</f>
        <v>104144.5</v>
      </c>
      <c r="C44" s="195">
        <f>D44*B44*12/1000</f>
        <v>102.47818799999999</v>
      </c>
      <c r="D44" s="196">
        <v>8.2000000000000003E-2</v>
      </c>
      <c r="E44" s="195">
        <f t="shared" si="2"/>
        <v>0.98399999999999999</v>
      </c>
      <c r="F44" s="187"/>
      <c r="G44" s="173"/>
    </row>
    <row r="45" spans="1:8" ht="30.75" hidden="1" customHeight="1">
      <c r="A45" s="72" t="s">
        <v>526</v>
      </c>
      <c r="B45" s="181">
        <f>B44</f>
        <v>104144.5</v>
      </c>
      <c r="C45" s="195">
        <f>D45*B45*12/1000</f>
        <v>0</v>
      </c>
      <c r="D45" s="196"/>
      <c r="E45" s="195">
        <f t="shared" si="2"/>
        <v>0</v>
      </c>
      <c r="F45" s="187"/>
      <c r="G45" s="173"/>
    </row>
    <row r="46" spans="1:8" ht="18" customHeight="1">
      <c r="A46" s="72" t="s">
        <v>527</v>
      </c>
      <c r="B46" s="181">
        <f>B45</f>
        <v>104144.5</v>
      </c>
      <c r="C46" s="195">
        <f>D46*B46*12/1000</f>
        <v>12.20365251</v>
      </c>
      <c r="D46" s="196">
        <f>0.0063*1.55</f>
        <v>9.7650000000000011E-3</v>
      </c>
      <c r="E46" s="195">
        <f t="shared" si="2"/>
        <v>0.11718000000000001</v>
      </c>
      <c r="F46" s="187"/>
      <c r="G46" s="173"/>
    </row>
    <row r="47" spans="1:8" ht="15.75" customHeight="1">
      <c r="A47" s="72" t="s">
        <v>528</v>
      </c>
      <c r="B47" s="181">
        <f>B46</f>
        <v>104144.5</v>
      </c>
      <c r="C47" s="195">
        <f>D47*B47*12/1000</f>
        <v>93.755044680000012</v>
      </c>
      <c r="D47" s="196">
        <f>0.0484*1.55</f>
        <v>7.5020000000000003E-2</v>
      </c>
      <c r="E47" s="195">
        <f t="shared" si="2"/>
        <v>0.90024000000000004</v>
      </c>
      <c r="F47" s="187"/>
      <c r="G47" s="173"/>
      <c r="H47" s="201">
        <f>SUM(C44:C47)</f>
        <v>208.43688519</v>
      </c>
    </row>
    <row r="48" spans="1:8" ht="14.25">
      <c r="A48" s="584" t="s">
        <v>531</v>
      </c>
      <c r="B48" s="584"/>
      <c r="C48" s="584"/>
      <c r="D48" s="584"/>
      <c r="E48" s="584"/>
      <c r="F48" s="584"/>
      <c r="G48" s="173"/>
    </row>
    <row r="49" spans="1:8" ht="18.75" customHeight="1">
      <c r="A49" s="72" t="s">
        <v>532</v>
      </c>
      <c r="B49" s="181">
        <f>B47</f>
        <v>104144.5</v>
      </c>
      <c r="C49" s="195">
        <f t="shared" ref="C49:C68" si="5">D49*B49*12/1000</f>
        <v>174.33789299999998</v>
      </c>
      <c r="D49" s="181">
        <f>0.09*1.55</f>
        <v>0.13949999999999999</v>
      </c>
      <c r="E49" s="195">
        <f t="shared" si="2"/>
        <v>1.6739999999999999</v>
      </c>
      <c r="F49" s="187"/>
      <c r="G49" s="173"/>
    </row>
    <row r="50" spans="1:8" ht="45.75" customHeight="1">
      <c r="A50" s="72" t="s">
        <v>33</v>
      </c>
      <c r="B50" s="181">
        <f t="shared" ref="B50:B61" si="6">B49</f>
        <v>104144.5</v>
      </c>
      <c r="C50" s="195">
        <f t="shared" si="5"/>
        <v>24.994679999999999</v>
      </c>
      <c r="D50" s="196">
        <v>0.02</v>
      </c>
      <c r="E50" s="195">
        <f t="shared" si="2"/>
        <v>0.24</v>
      </c>
      <c r="F50" s="187"/>
      <c r="G50" s="173"/>
    </row>
    <row r="51" spans="1:8" ht="18" hidden="1" customHeight="1">
      <c r="A51" s="72" t="s">
        <v>534</v>
      </c>
      <c r="B51" s="181">
        <f t="shared" si="6"/>
        <v>104144.5</v>
      </c>
      <c r="C51" s="195">
        <f t="shared" si="5"/>
        <v>0</v>
      </c>
      <c r="D51" s="196"/>
      <c r="E51" s="195">
        <f t="shared" si="2"/>
        <v>0</v>
      </c>
      <c r="F51" s="187"/>
      <c r="G51" s="173"/>
    </row>
    <row r="52" spans="1:8" ht="30" hidden="1" customHeight="1">
      <c r="A52" s="72" t="s">
        <v>535</v>
      </c>
      <c r="B52" s="181">
        <f t="shared" si="6"/>
        <v>104144.5</v>
      </c>
      <c r="C52" s="195">
        <f t="shared" si="5"/>
        <v>0</v>
      </c>
      <c r="D52" s="196"/>
      <c r="E52" s="195">
        <f t="shared" si="2"/>
        <v>0</v>
      </c>
      <c r="F52" s="187"/>
      <c r="G52" s="173"/>
    </row>
    <row r="53" spans="1:8" ht="59.25" hidden="1" customHeight="1">
      <c r="A53" s="72" t="s">
        <v>536</v>
      </c>
      <c r="B53" s="181">
        <f t="shared" si="6"/>
        <v>104144.5</v>
      </c>
      <c r="C53" s="195">
        <f t="shared" si="5"/>
        <v>0</v>
      </c>
      <c r="D53" s="196"/>
      <c r="E53" s="195">
        <f t="shared" si="2"/>
        <v>0</v>
      </c>
      <c r="F53" s="187"/>
      <c r="G53" s="173"/>
    </row>
    <row r="54" spans="1:8" ht="30" customHeight="1">
      <c r="A54" s="72" t="s">
        <v>34</v>
      </c>
      <c r="B54" s="181">
        <f t="shared" si="6"/>
        <v>104144.5</v>
      </c>
      <c r="C54" s="195">
        <f t="shared" si="5"/>
        <v>12.20365251</v>
      </c>
      <c r="D54" s="196">
        <f>0.0063*1.55</f>
        <v>9.7650000000000011E-3</v>
      </c>
      <c r="E54" s="195">
        <f t="shared" si="2"/>
        <v>0.11718000000000001</v>
      </c>
      <c r="F54" s="187"/>
      <c r="G54" s="173"/>
    </row>
    <row r="55" spans="1:8" ht="30.75" customHeight="1">
      <c r="A55" s="72" t="s">
        <v>538</v>
      </c>
      <c r="B55" s="181">
        <f t="shared" si="6"/>
        <v>104144.5</v>
      </c>
      <c r="C55" s="195">
        <f t="shared" si="5"/>
        <v>99.978719999999996</v>
      </c>
      <c r="D55" s="181">
        <v>0.08</v>
      </c>
      <c r="E55" s="195">
        <f t="shared" si="2"/>
        <v>0.96</v>
      </c>
      <c r="F55" s="187"/>
      <c r="G55" s="173"/>
    </row>
    <row r="56" spans="1:8" ht="29.25" hidden="1" customHeight="1">
      <c r="A56" s="72" t="s">
        <v>539</v>
      </c>
      <c r="B56" s="181">
        <f t="shared" si="6"/>
        <v>104144.5</v>
      </c>
      <c r="C56" s="195">
        <f t="shared" si="5"/>
        <v>0</v>
      </c>
      <c r="D56" s="196"/>
      <c r="E56" s="195">
        <f t="shared" si="2"/>
        <v>0</v>
      </c>
      <c r="F56" s="187"/>
      <c r="G56" s="173"/>
    </row>
    <row r="57" spans="1:8" ht="30.75" customHeight="1">
      <c r="A57" s="72" t="s">
        <v>450</v>
      </c>
      <c r="B57" s="181">
        <f t="shared" si="6"/>
        <v>104144.5</v>
      </c>
      <c r="C57" s="195">
        <f t="shared" si="5"/>
        <v>23.826178710000004</v>
      </c>
      <c r="D57" s="196">
        <f>0.0123*1.55</f>
        <v>1.9065000000000002E-2</v>
      </c>
      <c r="E57" s="195">
        <f t="shared" si="2"/>
        <v>0.22878000000000004</v>
      </c>
      <c r="F57" s="187"/>
      <c r="G57" s="173"/>
    </row>
    <row r="58" spans="1:8" ht="45.75" hidden="1" customHeight="1">
      <c r="A58" s="72" t="s">
        <v>1</v>
      </c>
      <c r="B58" s="181">
        <f t="shared" si="6"/>
        <v>104144.5</v>
      </c>
      <c r="C58" s="195">
        <f t="shared" si="5"/>
        <v>0</v>
      </c>
      <c r="D58" s="196"/>
      <c r="E58" s="195">
        <f t="shared" si="2"/>
        <v>0</v>
      </c>
      <c r="F58" s="187"/>
      <c r="G58" s="173"/>
    </row>
    <row r="59" spans="1:8" ht="31.5" hidden="1" customHeight="1">
      <c r="A59" s="72" t="s">
        <v>2</v>
      </c>
      <c r="B59" s="181">
        <f t="shared" si="6"/>
        <v>104144.5</v>
      </c>
      <c r="C59" s="195">
        <f t="shared" si="5"/>
        <v>0</v>
      </c>
      <c r="D59" s="196"/>
      <c r="E59" s="195">
        <f t="shared" si="2"/>
        <v>0</v>
      </c>
      <c r="F59" s="187"/>
      <c r="G59" s="173"/>
    </row>
    <row r="60" spans="1:8" ht="31.5" customHeight="1">
      <c r="A60" s="72" t="s">
        <v>3</v>
      </c>
      <c r="B60" s="181">
        <f t="shared" si="6"/>
        <v>104144.5</v>
      </c>
      <c r="C60" s="195">
        <f t="shared" si="5"/>
        <v>23.826178710000004</v>
      </c>
      <c r="D60" s="196">
        <f>0.0123*1.55</f>
        <v>1.9065000000000002E-2</v>
      </c>
      <c r="E60" s="195">
        <f t="shared" si="2"/>
        <v>0.22878000000000004</v>
      </c>
      <c r="F60" s="187"/>
      <c r="G60" s="173"/>
    </row>
    <row r="61" spans="1:8" ht="34.5" hidden="1" customHeight="1">
      <c r="A61" s="72" t="s">
        <v>4</v>
      </c>
      <c r="B61" s="181">
        <f t="shared" si="6"/>
        <v>104144.5</v>
      </c>
      <c r="C61" s="195">
        <f t="shared" si="5"/>
        <v>0</v>
      </c>
      <c r="D61" s="196"/>
      <c r="E61" s="195">
        <f t="shared" si="2"/>
        <v>0</v>
      </c>
      <c r="F61" s="187"/>
      <c r="G61" s="173"/>
      <c r="H61" s="201">
        <f>SUM(C49:C61)</f>
        <v>359.16730293000001</v>
      </c>
    </row>
    <row r="62" spans="1:8" ht="18.75" customHeight="1">
      <c r="A62" s="584" t="s">
        <v>5</v>
      </c>
      <c r="B62" s="584"/>
      <c r="C62" s="584"/>
      <c r="D62" s="584"/>
      <c r="E62" s="584"/>
      <c r="F62" s="584"/>
      <c r="G62" s="173"/>
    </row>
    <row r="63" spans="1:8" ht="30" customHeight="1">
      <c r="A63" s="72" t="s">
        <v>6</v>
      </c>
      <c r="B63" s="181">
        <f>B61</f>
        <v>104144.5</v>
      </c>
      <c r="C63" s="195">
        <f t="shared" si="5"/>
        <v>495.89445119999999</v>
      </c>
      <c r="D63" s="196">
        <f>0.256*1.55</f>
        <v>0.39680000000000004</v>
      </c>
      <c r="E63" s="195">
        <f t="shared" si="2"/>
        <v>4.7616000000000005</v>
      </c>
      <c r="F63" s="181"/>
      <c r="G63" s="173"/>
    </row>
    <row r="64" spans="1:8" ht="30.75" hidden="1" customHeight="1">
      <c r="A64" s="72" t="s">
        <v>7</v>
      </c>
      <c r="B64" s="181">
        <f>B63</f>
        <v>104144.5</v>
      </c>
      <c r="C64" s="195">
        <f t="shared" si="5"/>
        <v>0</v>
      </c>
      <c r="D64" s="196"/>
      <c r="E64" s="195">
        <f t="shared" si="2"/>
        <v>0</v>
      </c>
      <c r="F64" s="181"/>
      <c r="G64" s="173"/>
    </row>
    <row r="65" spans="1:8" ht="30.75" hidden="1" customHeight="1">
      <c r="A65" s="72" t="s">
        <v>8</v>
      </c>
      <c r="B65" s="181">
        <f>B64</f>
        <v>104144.5</v>
      </c>
      <c r="C65" s="195">
        <f t="shared" si="5"/>
        <v>0</v>
      </c>
      <c r="D65" s="181"/>
      <c r="E65" s="195">
        <f t="shared" si="2"/>
        <v>0</v>
      </c>
      <c r="F65" s="181"/>
      <c r="G65" s="173"/>
    </row>
    <row r="66" spans="1:8" ht="30.75" customHeight="1">
      <c r="A66" s="72" t="s">
        <v>35</v>
      </c>
      <c r="B66" s="181">
        <f>B65</f>
        <v>104144.5</v>
      </c>
      <c r="C66" s="195">
        <f t="shared" si="5"/>
        <v>251.82140100000001</v>
      </c>
      <c r="D66" s="181">
        <f>0.13*1.55</f>
        <v>0.20150000000000001</v>
      </c>
      <c r="E66" s="195">
        <f t="shared" si="2"/>
        <v>2.4180000000000001</v>
      </c>
      <c r="F66" s="181"/>
      <c r="G66" s="173"/>
    </row>
    <row r="67" spans="1:8" ht="42.75" customHeight="1">
      <c r="A67" s="72" t="s">
        <v>451</v>
      </c>
      <c r="B67" s="181">
        <f>B66</f>
        <v>104144.5</v>
      </c>
      <c r="C67" s="195">
        <f t="shared" si="5"/>
        <v>8.7481380000000009</v>
      </c>
      <c r="D67" s="196">
        <v>7.0000000000000001E-3</v>
      </c>
      <c r="E67" s="195">
        <f t="shared" si="2"/>
        <v>8.4000000000000005E-2</v>
      </c>
      <c r="F67" s="181"/>
      <c r="G67" s="173"/>
      <c r="H67" s="201">
        <f>SUM(C63:C67)</f>
        <v>756.46399020000001</v>
      </c>
    </row>
    <row r="68" spans="1:8" ht="29.25" hidden="1" customHeight="1">
      <c r="A68" s="72" t="s">
        <v>11</v>
      </c>
      <c r="B68" s="181">
        <f>B67</f>
        <v>104144.5</v>
      </c>
      <c r="C68" s="195">
        <f t="shared" si="5"/>
        <v>0</v>
      </c>
      <c r="D68" s="181"/>
      <c r="E68" s="195">
        <f t="shared" si="2"/>
        <v>0</v>
      </c>
      <c r="F68" s="181"/>
      <c r="G68" s="173"/>
    </row>
    <row r="69" spans="1:8" ht="14.25">
      <c r="A69" s="584" t="s">
        <v>12</v>
      </c>
      <c r="B69" s="584"/>
      <c r="C69" s="584"/>
      <c r="D69" s="584"/>
      <c r="E69" s="584"/>
      <c r="F69" s="584"/>
      <c r="G69" s="173"/>
    </row>
    <row r="70" spans="1:8" ht="30.75" hidden="1" customHeight="1">
      <c r="A70" s="72" t="s">
        <v>13</v>
      </c>
      <c r="B70" s="181">
        <f>B68</f>
        <v>104144.5</v>
      </c>
      <c r="C70" s="195">
        <f>D70*B70*12/1000</f>
        <v>0</v>
      </c>
      <c r="D70" s="196"/>
      <c r="E70" s="195">
        <f t="shared" si="2"/>
        <v>0</v>
      </c>
      <c r="F70" s="187"/>
      <c r="G70" s="173"/>
    </row>
    <row r="71" spans="1:8" ht="18" customHeight="1">
      <c r="A71" s="72" t="s">
        <v>14</v>
      </c>
      <c r="B71" s="181">
        <f>B70</f>
        <v>104144.5</v>
      </c>
      <c r="C71" s="195">
        <f>D71*B71*12/1000</f>
        <v>4.84271925</v>
      </c>
      <c r="D71" s="196">
        <f>0.0025*1.55</f>
        <v>3.8750000000000004E-3</v>
      </c>
      <c r="E71" s="195">
        <f t="shared" si="2"/>
        <v>4.6500000000000007E-2</v>
      </c>
      <c r="F71" s="187"/>
      <c r="G71" s="173"/>
    </row>
    <row r="72" spans="1:8" ht="33" customHeight="1">
      <c r="A72" s="72" t="s">
        <v>15</v>
      </c>
      <c r="B72" s="181">
        <f>B71</f>
        <v>104144.5</v>
      </c>
      <c r="C72" s="195">
        <f>D72*B72*12/1000</f>
        <v>38.741754</v>
      </c>
      <c r="D72" s="196">
        <f>0.02*1.55</f>
        <v>3.1000000000000003E-2</v>
      </c>
      <c r="E72" s="195">
        <f t="shared" si="2"/>
        <v>0.37200000000000005</v>
      </c>
      <c r="F72" s="187"/>
      <c r="G72" s="173"/>
      <c r="H72" s="201">
        <f>SUM(C71:C72)</f>
        <v>43.584473250000002</v>
      </c>
    </row>
    <row r="73" spans="1:8" ht="15" hidden="1">
      <c r="A73" s="72" t="s">
        <v>16</v>
      </c>
      <c r="B73" s="181">
        <f>B72</f>
        <v>104144.5</v>
      </c>
      <c r="C73" s="195">
        <f>D73*B73*12/1000</f>
        <v>0</v>
      </c>
      <c r="D73" s="196"/>
      <c r="E73" s="195">
        <f t="shared" si="2"/>
        <v>0</v>
      </c>
      <c r="F73" s="187"/>
      <c r="G73" s="173"/>
    </row>
    <row r="74" spans="1:8" ht="14.25" hidden="1">
      <c r="A74" s="584" t="s">
        <v>17</v>
      </c>
      <c r="B74" s="584"/>
      <c r="C74" s="584"/>
      <c r="D74" s="584"/>
      <c r="E74" s="584"/>
      <c r="F74" s="584"/>
      <c r="G74" s="173"/>
    </row>
    <row r="75" spans="1:8" ht="45" hidden="1">
      <c r="A75" s="72" t="s">
        <v>19</v>
      </c>
      <c r="B75" s="187"/>
      <c r="C75" s="181">
        <v>0</v>
      </c>
      <c r="D75" s="181">
        <v>0</v>
      </c>
      <c r="E75" s="181"/>
      <c r="F75" s="187"/>
      <c r="G75" s="173"/>
    </row>
    <row r="76" spans="1:8" ht="45" hidden="1">
      <c r="A76" s="72" t="s">
        <v>20</v>
      </c>
      <c r="B76" s="187"/>
      <c r="C76" s="181">
        <v>0</v>
      </c>
      <c r="D76" s="181">
        <v>0</v>
      </c>
      <c r="E76" s="181"/>
      <c r="F76" s="187"/>
      <c r="G76" s="173"/>
    </row>
    <row r="77" spans="1:8" ht="14.25">
      <c r="A77" s="584" t="s">
        <v>21</v>
      </c>
      <c r="B77" s="584"/>
      <c r="C77" s="584"/>
      <c r="D77" s="584"/>
      <c r="E77" s="584"/>
      <c r="F77" s="584"/>
      <c r="G77" s="584"/>
    </row>
    <row r="78" spans="1:8" ht="12.75" customHeight="1">
      <c r="A78" s="657" t="s">
        <v>22</v>
      </c>
      <c r="B78" s="658">
        <f>B73</f>
        <v>104144.5</v>
      </c>
      <c r="C78" s="655">
        <f>D78*B78*12/1000</f>
        <v>604.87125600000002</v>
      </c>
      <c r="D78" s="659">
        <v>0.48399999999999999</v>
      </c>
      <c r="E78" s="655">
        <f>D78*12</f>
        <v>5.8079999999999998</v>
      </c>
      <c r="F78" s="584"/>
      <c r="G78" s="584"/>
    </row>
    <row r="79" spans="1:8" ht="16.5" customHeight="1">
      <c r="A79" s="657"/>
      <c r="B79" s="658"/>
      <c r="C79" s="656"/>
      <c r="D79" s="659"/>
      <c r="E79" s="656"/>
      <c r="F79" s="584"/>
      <c r="G79" s="584"/>
    </row>
    <row r="80" spans="1:8" ht="32.25" customHeight="1">
      <c r="A80" s="72" t="s">
        <v>23</v>
      </c>
      <c r="B80" s="181">
        <f>B78</f>
        <v>104144.5</v>
      </c>
      <c r="C80" s="195">
        <f>D80*B80*12/1000</f>
        <v>505.38618093000008</v>
      </c>
      <c r="D80" s="196">
        <f>0.2609*1.55</f>
        <v>0.40439500000000006</v>
      </c>
      <c r="E80" s="195">
        <f>D80*12</f>
        <v>4.8527400000000007</v>
      </c>
      <c r="F80" s="584"/>
      <c r="G80" s="584"/>
      <c r="H80" s="201">
        <f>SUM(C78:C80)</f>
        <v>1110.25743693</v>
      </c>
    </row>
    <row r="81" spans="1:8" ht="14.25">
      <c r="A81" s="584" t="s">
        <v>45</v>
      </c>
      <c r="B81" s="584"/>
      <c r="C81" s="584"/>
      <c r="D81" s="584"/>
      <c r="E81" s="584"/>
      <c r="F81" s="584"/>
      <c r="G81" s="173"/>
    </row>
    <row r="82" spans="1:8" ht="33.75" customHeight="1">
      <c r="A82" s="72" t="s">
        <v>46</v>
      </c>
      <c r="B82" s="181">
        <f>B80</f>
        <v>104144.5</v>
      </c>
      <c r="C82" s="195">
        <f>D82*B82*12/1000</f>
        <v>464.901048</v>
      </c>
      <c r="D82" s="181">
        <f>0.24*1.55</f>
        <v>0.372</v>
      </c>
      <c r="E82" s="195">
        <f>D82*12</f>
        <v>4.4640000000000004</v>
      </c>
      <c r="F82" s="187"/>
      <c r="G82" s="173"/>
      <c r="H82" s="201">
        <f>SUM(C82:C82)</f>
        <v>464.901048</v>
      </c>
    </row>
    <row r="83" spans="1:8" ht="14.25">
      <c r="A83" s="584" t="s">
        <v>49</v>
      </c>
      <c r="B83" s="584"/>
      <c r="C83" s="584"/>
      <c r="D83" s="584"/>
      <c r="E83" s="584"/>
      <c r="F83" s="584"/>
      <c r="G83" s="173"/>
    </row>
    <row r="84" spans="1:8" ht="49.5" customHeight="1">
      <c r="A84" s="72" t="s">
        <v>50</v>
      </c>
      <c r="B84" s="181">
        <f>B82</f>
        <v>104144.5</v>
      </c>
      <c r="C84" s="195">
        <f>D84*B84*12/1000</f>
        <v>87.481380000000001</v>
      </c>
      <c r="D84" s="181">
        <f>0.07</f>
        <v>7.0000000000000007E-2</v>
      </c>
      <c r="E84" s="195">
        <f t="shared" ref="E84:E92" si="7">D84*12</f>
        <v>0.84000000000000008</v>
      </c>
      <c r="F84" s="187"/>
      <c r="G84" s="173"/>
    </row>
    <row r="85" spans="1:8" ht="49.5" customHeight="1">
      <c r="A85" s="72" t="s">
        <v>51</v>
      </c>
      <c r="B85" s="181">
        <f>B84</f>
        <v>104144.5</v>
      </c>
      <c r="C85" s="195">
        <f>D85*B85*12/1000</f>
        <v>62.486700000000006</v>
      </c>
      <c r="D85" s="196">
        <f>0.05</f>
        <v>0.05</v>
      </c>
      <c r="E85" s="195">
        <f t="shared" si="7"/>
        <v>0.60000000000000009</v>
      </c>
      <c r="F85" s="187"/>
      <c r="G85" s="173"/>
    </row>
    <row r="86" spans="1:8" ht="33" customHeight="1">
      <c r="A86" s="72" t="s">
        <v>52</v>
      </c>
      <c r="B86" s="181">
        <f>B85</f>
        <v>104144.5</v>
      </c>
      <c r="C86" s="195">
        <f>D86*B86*12/1000</f>
        <v>349.92552000000001</v>
      </c>
      <c r="D86" s="181">
        <f>0.28</f>
        <v>0.28000000000000003</v>
      </c>
      <c r="E86" s="195">
        <f t="shared" si="7"/>
        <v>3.3600000000000003</v>
      </c>
      <c r="F86" s="187"/>
      <c r="G86" s="173"/>
    </row>
    <row r="87" spans="1:8" ht="47.25" customHeight="1">
      <c r="A87" s="72" t="s">
        <v>53</v>
      </c>
      <c r="B87" s="181">
        <f>B86</f>
        <v>104144.5</v>
      </c>
      <c r="C87" s="195">
        <f>D87*B87*12/1000</f>
        <v>18.746010000000002</v>
      </c>
      <c r="D87" s="196">
        <f>0.015</f>
        <v>1.4999999999999999E-2</v>
      </c>
      <c r="E87" s="195">
        <f t="shared" si="7"/>
        <v>0.18</v>
      </c>
      <c r="F87" s="187"/>
      <c r="G87" s="173"/>
    </row>
    <row r="88" spans="1:8" ht="44.25" customHeight="1">
      <c r="A88" s="72" t="s">
        <v>54</v>
      </c>
      <c r="B88" s="181">
        <f>B87</f>
        <v>104144.5</v>
      </c>
      <c r="C88" s="195">
        <f>D88*B88*12/1000</f>
        <v>49.989359999999998</v>
      </c>
      <c r="D88" s="181">
        <f>0.04</f>
        <v>0.04</v>
      </c>
      <c r="E88" s="195">
        <f t="shared" si="7"/>
        <v>0.48</v>
      </c>
      <c r="F88" s="187"/>
      <c r="G88" s="173"/>
      <c r="H88" s="201">
        <f>SUM(C84:C88)</f>
        <v>568.62896999999998</v>
      </c>
    </row>
    <row r="89" spans="1:8" ht="14.25">
      <c r="A89" s="584" t="s">
        <v>36</v>
      </c>
      <c r="B89" s="584"/>
      <c r="C89" s="584"/>
      <c r="D89" s="584"/>
      <c r="E89" s="584"/>
      <c r="F89" s="584"/>
      <c r="G89" s="173"/>
    </row>
    <row r="90" spans="1:8" ht="31.5" customHeight="1">
      <c r="A90" s="72" t="s">
        <v>56</v>
      </c>
      <c r="B90" s="181">
        <f>B88</f>
        <v>104144.5</v>
      </c>
      <c r="C90" s="195">
        <f>D90*B90*12/1000</f>
        <v>371.170998</v>
      </c>
      <c r="D90" s="181">
        <v>0.29699999999999999</v>
      </c>
      <c r="E90" s="195">
        <f t="shared" si="7"/>
        <v>3.5640000000000001</v>
      </c>
      <c r="F90" s="187"/>
      <c r="G90" s="173"/>
    </row>
    <row r="91" spans="1:8" ht="32.25" customHeight="1">
      <c r="A91" s="72" t="s">
        <v>57</v>
      </c>
      <c r="B91" s="181">
        <f>B90</f>
        <v>104144.5</v>
      </c>
      <c r="C91" s="195">
        <f>D91*B91*12/1000</f>
        <v>871.06459800000005</v>
      </c>
      <c r="D91" s="181">
        <v>0.69699999999999995</v>
      </c>
      <c r="E91" s="195">
        <f t="shared" si="7"/>
        <v>8.363999999999999</v>
      </c>
      <c r="F91" s="187"/>
      <c r="G91" s="173"/>
    </row>
    <row r="92" spans="1:8" ht="45" customHeight="1">
      <c r="A92" s="72" t="s">
        <v>69</v>
      </c>
      <c r="B92" s="181">
        <f>B91</f>
        <v>104144.5</v>
      </c>
      <c r="C92" s="195">
        <f>D92*B92*12/1000</f>
        <v>452.40370799999999</v>
      </c>
      <c r="D92" s="181">
        <v>0.36199999999999999</v>
      </c>
      <c r="E92" s="195">
        <f t="shared" si="7"/>
        <v>4.3439999999999994</v>
      </c>
      <c r="F92" s="187"/>
      <c r="G92" s="173"/>
      <c r="H92" s="201">
        <f>SUM(C90:C92)</f>
        <v>1694.639304</v>
      </c>
    </row>
    <row r="93" spans="1:8" ht="14.25">
      <c r="A93" s="584" t="s">
        <v>59</v>
      </c>
      <c r="B93" s="584"/>
      <c r="C93" s="584"/>
      <c r="D93" s="584"/>
      <c r="E93" s="584"/>
      <c r="F93" s="584"/>
      <c r="G93" s="173"/>
    </row>
    <row r="94" spans="1:8" ht="15">
      <c r="A94" s="72" t="s">
        <v>61</v>
      </c>
      <c r="B94" s="187">
        <f>B95</f>
        <v>104144.5</v>
      </c>
      <c r="C94" s="195">
        <f>D94*B94*12/1000</f>
        <v>216.20398199999997</v>
      </c>
      <c r="D94" s="211">
        <v>0.17299999999999999</v>
      </c>
      <c r="E94" s="195">
        <f>D94*12</f>
        <v>2.0759999999999996</v>
      </c>
      <c r="F94" s="187"/>
      <c r="G94" s="173"/>
    </row>
    <row r="95" spans="1:8" ht="15">
      <c r="A95" s="72" t="s">
        <v>64</v>
      </c>
      <c r="B95" s="187">
        <f>B92</f>
        <v>104144.5</v>
      </c>
      <c r="C95" s="195">
        <f>D95*B95*12/1000</f>
        <v>1625.9039339999999</v>
      </c>
      <c r="D95" s="181">
        <v>1.3009999999999999</v>
      </c>
      <c r="E95" s="195">
        <f>D95*12</f>
        <v>15.611999999999998</v>
      </c>
      <c r="F95" s="187"/>
      <c r="G95" s="173"/>
    </row>
    <row r="96" spans="1:8" ht="14.25">
      <c r="A96" s="199" t="s">
        <v>65</v>
      </c>
      <c r="B96" s="187"/>
      <c r="C96" s="63">
        <f>C13+C15+C16+C17+C18+C19+C20+C22+C23+C25+C26+C27+C28+C30+C31+C32+C33+C34+C35+C36+C37+C38+C40+C41+C42+C44+C45+C46+C47+C49+C50+C51+C52+C53+C54+C55+C56+C57+C58+C59+C60+C61+C63+C64+C65+C66+C67+C68+C70+C71+C72+C73+C78+C80+C82+C84+C85+C86+C87+C88+C90+C91+C92+C95+C94</f>
        <v>9878.1287367899986</v>
      </c>
      <c r="D96" s="68">
        <f>D13+D16+D17+D18+D19+D20+D22+D23+D25+D26+D27+D28+D30+D31+D32+D33+D34+D35+D36+D37+D38+D40+D41+D42+D44+D45+D46+D47+D49+D50+D51+D52+D53+D54+D55+D56+D57+D58+D59+D60+D61+D63+D66+D67+D71+D72+D73+D75+D76+D78+D80+D82+D84+D85+D86+D87+D88+D90+D91+D92+D94+D95</f>
        <v>7.9041849999999991</v>
      </c>
      <c r="E96" s="63">
        <f>E13+E15+E16+E17+E18+E19+E20+E22+E23+E25+E26+E27+E28+E30+E31+E32+E33+E34+E35+E36+E37+E38+E40+E41+E42+E44+E45+E46+E47+E49+E50+E51+E52+E53+E54+E55+E56+E57+E58+E59+E60+E61+E63+E68+E70+E71+E72+E73+E75+E76+E78+E80+E82+E84+E85+E86+E87+E88+E90+E91+E92+E94+E95</f>
        <v>92.348219999999998</v>
      </c>
      <c r="F96" s="187"/>
      <c r="G96" s="173"/>
      <c r="H96">
        <f>C96/B95/12*1000</f>
        <v>7.9041849999999991</v>
      </c>
    </row>
    <row r="97" spans="1:7" ht="30" customHeight="1">
      <c r="A97" s="200" t="s">
        <v>66</v>
      </c>
      <c r="B97" s="187"/>
      <c r="C97" s="63">
        <f>C96+об.многоэт!C23</f>
        <v>16083.980850375599</v>
      </c>
      <c r="D97" s="68">
        <f>D96+об.многоэт!D23</f>
        <v>12.869923399999999</v>
      </c>
      <c r="E97" s="63"/>
      <c r="F97" s="187"/>
      <c r="G97" s="173"/>
    </row>
    <row r="98" spans="1:7" ht="14.25">
      <c r="A98" s="66" t="s">
        <v>84</v>
      </c>
      <c r="B98" s="42"/>
      <c r="C98" s="67">
        <f>C97/12</f>
        <v>1340.3317375313</v>
      </c>
      <c r="D98" s="42"/>
      <c r="E98" s="42"/>
      <c r="F98" s="42"/>
    </row>
    <row r="99" spans="1:7" ht="14.25">
      <c r="A99" s="31" t="s">
        <v>67</v>
      </c>
    </row>
    <row r="100" spans="1:7" ht="14.25">
      <c r="A100" s="31"/>
    </row>
    <row r="101" spans="1:7" ht="14.25">
      <c r="A101" s="31"/>
    </row>
    <row r="102" spans="1:7">
      <c r="A102" s="32"/>
    </row>
  </sheetData>
  <mergeCells count="46">
    <mergeCell ref="A2:F2"/>
    <mergeCell ref="A3:F3"/>
    <mergeCell ref="A4:F4"/>
    <mergeCell ref="A5:F5"/>
    <mergeCell ref="A7:F7"/>
    <mergeCell ref="A9:A11"/>
    <mergeCell ref="B9:B11"/>
    <mergeCell ref="F9:F11"/>
    <mergeCell ref="A8:F8"/>
    <mergeCell ref="G9:G10"/>
    <mergeCell ref="A12:F12"/>
    <mergeCell ref="A13:A14"/>
    <mergeCell ref="B13:B14"/>
    <mergeCell ref="C13:C14"/>
    <mergeCell ref="D13:D14"/>
    <mergeCell ref="F13:F14"/>
    <mergeCell ref="G13:G14"/>
    <mergeCell ref="A21:F21"/>
    <mergeCell ref="B23:B24"/>
    <mergeCell ref="C23:C24"/>
    <mergeCell ref="D23:D24"/>
    <mergeCell ref="F23:F24"/>
    <mergeCell ref="G23:G24"/>
    <mergeCell ref="D78:D79"/>
    <mergeCell ref="F78:G79"/>
    <mergeCell ref="A29:F29"/>
    <mergeCell ref="A39:F39"/>
    <mergeCell ref="A43:F43"/>
    <mergeCell ref="A48:F48"/>
    <mergeCell ref="A62:F62"/>
    <mergeCell ref="A93:F93"/>
    <mergeCell ref="D9:D11"/>
    <mergeCell ref="E9:E11"/>
    <mergeCell ref="E13:E14"/>
    <mergeCell ref="E23:E24"/>
    <mergeCell ref="E78:E79"/>
    <mergeCell ref="F80:G80"/>
    <mergeCell ref="A81:F81"/>
    <mergeCell ref="A83:F83"/>
    <mergeCell ref="A89:F89"/>
    <mergeCell ref="A69:F69"/>
    <mergeCell ref="A74:F74"/>
    <mergeCell ref="A77:G77"/>
    <mergeCell ref="A78:A79"/>
    <mergeCell ref="B78:B79"/>
    <mergeCell ref="C78:C79"/>
  </mergeCells>
  <phoneticPr fontId="2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2:F102"/>
  <sheetViews>
    <sheetView topLeftCell="A89" workbookViewId="0">
      <selection activeCell="A89" sqref="A1:IV65536"/>
    </sheetView>
  </sheetViews>
  <sheetFormatPr defaultRowHeight="12.75"/>
  <cols>
    <col min="1" max="1" width="33.42578125" customWidth="1"/>
    <col min="2" max="2" width="14.28515625" customWidth="1"/>
    <col min="3" max="3" width="11.85546875" customWidth="1"/>
    <col min="4" max="4" width="11.42578125" customWidth="1"/>
    <col min="5" max="5" width="13.28515625" customWidth="1"/>
  </cols>
  <sheetData>
    <row r="2" spans="1:6" ht="15.75">
      <c r="A2" s="473" t="s">
        <v>434</v>
      </c>
      <c r="B2" s="473"/>
      <c r="C2" s="473"/>
      <c r="D2" s="473"/>
      <c r="E2" s="473"/>
    </row>
    <row r="3" spans="1:6" ht="15.75">
      <c r="A3" s="473" t="s">
        <v>480</v>
      </c>
      <c r="B3" s="473"/>
      <c r="C3" s="473"/>
      <c r="D3" s="473"/>
      <c r="E3" s="473"/>
    </row>
    <row r="4" spans="1:6" ht="15.75">
      <c r="A4" s="473" t="s">
        <v>481</v>
      </c>
      <c r="B4" s="473"/>
      <c r="C4" s="473"/>
      <c r="D4" s="473"/>
      <c r="E4" s="473"/>
    </row>
    <row r="5" spans="1:6" ht="15.75">
      <c r="A5" s="473" t="s">
        <v>482</v>
      </c>
      <c r="B5" s="473"/>
      <c r="C5" s="473"/>
      <c r="D5" s="473"/>
      <c r="E5" s="473"/>
    </row>
    <row r="6" spans="1:6" ht="15.75">
      <c r="A6" s="1"/>
    </row>
    <row r="7" spans="1:6" ht="15.75">
      <c r="A7" s="473" t="s">
        <v>483</v>
      </c>
      <c r="B7" s="473"/>
      <c r="C7" s="473"/>
      <c r="D7" s="473"/>
      <c r="E7" s="473"/>
    </row>
    <row r="8" spans="1:6" ht="15" thickBot="1">
      <c r="A8" s="25"/>
    </row>
    <row r="9" spans="1:6" ht="28.5">
      <c r="A9" s="441" t="s">
        <v>484</v>
      </c>
      <c r="B9" s="441" t="s">
        <v>485</v>
      </c>
      <c r="C9" s="7" t="s">
        <v>486</v>
      </c>
      <c r="D9" s="441" t="s">
        <v>489</v>
      </c>
      <c r="E9" s="441" t="s">
        <v>458</v>
      </c>
      <c r="F9" s="447"/>
    </row>
    <row r="10" spans="1:6" ht="29.25" thickBot="1">
      <c r="A10" s="442"/>
      <c r="B10" s="442"/>
      <c r="C10" s="8" t="s">
        <v>487</v>
      </c>
      <c r="D10" s="443"/>
      <c r="E10" s="442"/>
      <c r="F10" s="447"/>
    </row>
    <row r="11" spans="1:6" ht="57.75" thickBot="1">
      <c r="A11" s="443"/>
      <c r="B11" s="443"/>
      <c r="C11" s="11" t="s">
        <v>488</v>
      </c>
      <c r="D11" s="11" t="s">
        <v>459</v>
      </c>
      <c r="E11" s="443"/>
      <c r="F11" s="26"/>
    </row>
    <row r="12" spans="1:6" ht="15" thickBot="1">
      <c r="A12" s="438" t="s">
        <v>490</v>
      </c>
      <c r="B12" s="439"/>
      <c r="C12" s="439"/>
      <c r="D12" s="439"/>
      <c r="E12" s="440"/>
      <c r="F12" s="26"/>
    </row>
    <row r="13" spans="1:6">
      <c r="A13" s="464" t="s">
        <v>491</v>
      </c>
      <c r="B13" s="466"/>
      <c r="C13" s="462">
        <f>D13*B13*12/1000</f>
        <v>0</v>
      </c>
      <c r="D13" s="462">
        <v>0.153</v>
      </c>
      <c r="E13" s="466"/>
      <c r="F13" s="447"/>
    </row>
    <row r="14" spans="1:6" ht="20.25" customHeight="1" thickBot="1">
      <c r="A14" s="465"/>
      <c r="B14" s="467"/>
      <c r="C14" s="463"/>
      <c r="D14" s="463"/>
      <c r="E14" s="467"/>
      <c r="F14" s="447"/>
    </row>
    <row r="15" spans="1:6" ht="45" customHeight="1" thickBot="1">
      <c r="A15" s="13" t="s">
        <v>492</v>
      </c>
      <c r="B15" s="19"/>
      <c r="C15" s="14">
        <f t="shared" ref="C15:C20" si="0">D15*B15*12/1000</f>
        <v>0</v>
      </c>
      <c r="D15" s="14">
        <v>0.38379999999999997</v>
      </c>
      <c r="E15" s="19"/>
      <c r="F15" s="26"/>
    </row>
    <row r="16" spans="1:6" ht="31.5" customHeight="1" thickBot="1">
      <c r="A16" s="13" t="s">
        <v>493</v>
      </c>
      <c r="B16" s="19"/>
      <c r="C16" s="14">
        <f t="shared" si="0"/>
        <v>0</v>
      </c>
      <c r="D16" s="14">
        <v>1.1999999999999999E-3</v>
      </c>
      <c r="E16" s="19"/>
      <c r="F16" s="26"/>
    </row>
    <row r="17" spans="1:6" ht="24" customHeight="1" thickBot="1">
      <c r="A17" s="13" t="s">
        <v>494</v>
      </c>
      <c r="B17" s="19"/>
      <c r="C17" s="14">
        <f t="shared" si="0"/>
        <v>0</v>
      </c>
      <c r="D17" s="14">
        <v>2.5000000000000001E-3</v>
      </c>
      <c r="E17" s="19"/>
      <c r="F17" s="26"/>
    </row>
    <row r="18" spans="1:6" ht="30.75" thickBot="1">
      <c r="A18" s="13" t="s">
        <v>495</v>
      </c>
      <c r="B18" s="19"/>
      <c r="C18" s="14">
        <f t="shared" si="0"/>
        <v>0</v>
      </c>
      <c r="D18" s="14">
        <v>2.5499999999999998E-2</v>
      </c>
      <c r="E18" s="19"/>
      <c r="F18" s="26"/>
    </row>
    <row r="19" spans="1:6" ht="30.75" thickBot="1">
      <c r="A19" s="13" t="s">
        <v>496</v>
      </c>
      <c r="B19" s="19"/>
      <c r="C19" s="14">
        <f t="shared" si="0"/>
        <v>0</v>
      </c>
      <c r="D19" s="14">
        <v>1.6500000000000001E-2</v>
      </c>
      <c r="E19" s="19"/>
      <c r="F19" s="26"/>
    </row>
    <row r="20" spans="1:6" ht="60.75" thickBot="1">
      <c r="A20" s="13" t="s">
        <v>497</v>
      </c>
      <c r="B20" s="19"/>
      <c r="C20" s="14">
        <f t="shared" si="0"/>
        <v>0</v>
      </c>
      <c r="D20" s="14">
        <v>6.3E-3</v>
      </c>
      <c r="E20" s="19"/>
      <c r="F20" s="26"/>
    </row>
    <row r="21" spans="1:6" ht="15" thickBot="1">
      <c r="A21" s="438" t="s">
        <v>498</v>
      </c>
      <c r="B21" s="439"/>
      <c r="C21" s="439"/>
      <c r="D21" s="439"/>
      <c r="E21" s="440"/>
      <c r="F21" s="26"/>
    </row>
    <row r="22" spans="1:6" ht="45.75" thickBot="1">
      <c r="A22" s="13" t="s">
        <v>499</v>
      </c>
      <c r="B22" s="11"/>
      <c r="C22" s="14">
        <f>D22*B22*12/1000</f>
        <v>0</v>
      </c>
      <c r="D22" s="14">
        <v>6.3E-3</v>
      </c>
      <c r="E22" s="11"/>
      <c r="F22" s="26"/>
    </row>
    <row r="23" spans="1:6" ht="16.5" customHeight="1">
      <c r="A23" s="27" t="s">
        <v>500</v>
      </c>
      <c r="B23" s="441"/>
      <c r="C23" s="462">
        <f>D23*B23*12/1000</f>
        <v>0</v>
      </c>
      <c r="D23" s="462">
        <v>6.3E-3</v>
      </c>
      <c r="E23" s="441"/>
      <c r="F23" s="447"/>
    </row>
    <row r="24" spans="1:6" ht="13.5" customHeight="1" thickBot="1">
      <c r="A24" s="13" t="s">
        <v>501</v>
      </c>
      <c r="B24" s="443"/>
      <c r="C24" s="463"/>
      <c r="D24" s="463"/>
      <c r="E24" s="443"/>
      <c r="F24" s="447"/>
    </row>
    <row r="25" spans="1:6" ht="45" customHeight="1" thickBot="1">
      <c r="A25" s="13" t="s">
        <v>502</v>
      </c>
      <c r="B25" s="11"/>
      <c r="C25" s="14">
        <f>D25*B25*12/1000</f>
        <v>0</v>
      </c>
      <c r="D25" s="14">
        <v>3.2000000000000001E-2</v>
      </c>
      <c r="E25" s="11"/>
      <c r="F25" s="26"/>
    </row>
    <row r="26" spans="1:6" ht="45" customHeight="1" thickBot="1">
      <c r="A26" s="13" t="s">
        <v>503</v>
      </c>
      <c r="B26" s="11"/>
      <c r="C26" s="14">
        <f>D26*B26*12/1000</f>
        <v>0</v>
      </c>
      <c r="D26" s="14">
        <v>0.21</v>
      </c>
      <c r="E26" s="11"/>
      <c r="F26" s="26"/>
    </row>
    <row r="27" spans="1:6" ht="75.75" thickBot="1">
      <c r="A27" s="13" t="s">
        <v>506</v>
      </c>
      <c r="B27" s="11"/>
      <c r="C27" s="14">
        <f>D27*B27*12/1000</f>
        <v>0</v>
      </c>
      <c r="D27" s="14">
        <v>2.3999999999999998E-3</v>
      </c>
      <c r="E27" s="11"/>
      <c r="F27" s="26"/>
    </row>
    <row r="28" spans="1:6" ht="30.75" thickBot="1">
      <c r="A28" s="13" t="s">
        <v>507</v>
      </c>
      <c r="B28" s="11"/>
      <c r="C28" s="14">
        <f>D28*B28*12/1000</f>
        <v>0</v>
      </c>
      <c r="D28" s="14">
        <v>0.66</v>
      </c>
      <c r="E28" s="11"/>
      <c r="F28" s="26"/>
    </row>
    <row r="29" spans="1:6" ht="15" thickBot="1">
      <c r="A29" s="438" t="s">
        <v>508</v>
      </c>
      <c r="B29" s="439"/>
      <c r="C29" s="439"/>
      <c r="D29" s="439"/>
      <c r="E29" s="440"/>
      <c r="F29" s="26"/>
    </row>
    <row r="30" spans="1:6" ht="31.5" customHeight="1" thickBot="1">
      <c r="A30" s="13" t="s">
        <v>509</v>
      </c>
      <c r="B30" s="11"/>
      <c r="C30" s="14">
        <f>D30*B30*12/1000</f>
        <v>0</v>
      </c>
      <c r="D30" s="14">
        <v>1.1999999999999999E-3</v>
      </c>
      <c r="E30" s="14"/>
      <c r="F30" s="26"/>
    </row>
    <row r="31" spans="1:6" ht="72.75" customHeight="1" thickBot="1">
      <c r="A31" s="13" t="s">
        <v>510</v>
      </c>
      <c r="B31" s="11"/>
      <c r="C31" s="14">
        <f t="shared" ref="C31:C42" si="1">D31*B31*12/1000</f>
        <v>0</v>
      </c>
      <c r="D31" s="14">
        <v>2.3999999999999998E-3</v>
      </c>
      <c r="E31" s="14"/>
      <c r="F31" s="26"/>
    </row>
    <row r="32" spans="1:6" ht="30" customHeight="1" thickBot="1">
      <c r="A32" s="13" t="s">
        <v>511</v>
      </c>
      <c r="B32" s="11"/>
      <c r="C32" s="14">
        <f t="shared" si="1"/>
        <v>0</v>
      </c>
      <c r="D32" s="14">
        <v>2.3999999999999998E-3</v>
      </c>
      <c r="E32" s="14"/>
      <c r="F32" s="26"/>
    </row>
    <row r="33" spans="1:6" ht="30" customHeight="1" thickBot="1">
      <c r="A33" s="13" t="s">
        <v>512</v>
      </c>
      <c r="B33" s="11"/>
      <c r="C33" s="14">
        <f t="shared" si="1"/>
        <v>0</v>
      </c>
      <c r="D33" s="14">
        <v>0.09</v>
      </c>
      <c r="E33" s="14"/>
      <c r="F33" s="26"/>
    </row>
    <row r="34" spans="1:6" ht="59.25" customHeight="1" thickBot="1">
      <c r="A34" s="13" t="s">
        <v>513</v>
      </c>
      <c r="B34" s="11"/>
      <c r="C34" s="14">
        <f>D34*B34*12/1000</f>
        <v>0</v>
      </c>
      <c r="D34" s="14">
        <v>1.2E-2</v>
      </c>
      <c r="E34" s="14"/>
      <c r="F34" s="26"/>
    </row>
    <row r="35" spans="1:6" ht="91.5" customHeight="1" thickBot="1">
      <c r="A35" s="13" t="s">
        <v>514</v>
      </c>
      <c r="B35" s="11"/>
      <c r="C35" s="14">
        <f t="shared" si="1"/>
        <v>0</v>
      </c>
      <c r="D35" s="14">
        <v>1.12E-2</v>
      </c>
      <c r="E35" s="14"/>
      <c r="F35" s="26"/>
    </row>
    <row r="36" spans="1:6" ht="45.75" customHeight="1" thickBot="1">
      <c r="A36" s="13" t="s">
        <v>515</v>
      </c>
      <c r="B36" s="11"/>
      <c r="C36" s="14">
        <f t="shared" si="1"/>
        <v>0</v>
      </c>
      <c r="D36" s="14">
        <v>6.0000000000000001E-3</v>
      </c>
      <c r="E36" s="14"/>
      <c r="F36" s="26"/>
    </row>
    <row r="37" spans="1:6" ht="62.25" customHeight="1" thickBot="1">
      <c r="A37" s="13" t="s">
        <v>516</v>
      </c>
      <c r="B37" s="11"/>
      <c r="C37" s="14">
        <f>D37*B37*12/1000</f>
        <v>0</v>
      </c>
      <c r="D37" s="14">
        <v>2.3999999999999998E-3</v>
      </c>
      <c r="E37" s="14"/>
      <c r="F37" s="26"/>
    </row>
    <row r="38" spans="1:6" ht="28.5" customHeight="1" thickBot="1">
      <c r="A38" s="13" t="s">
        <v>517</v>
      </c>
      <c r="B38" s="11"/>
      <c r="C38" s="14">
        <f t="shared" si="1"/>
        <v>0</v>
      </c>
      <c r="D38" s="14">
        <v>0.28000000000000003</v>
      </c>
      <c r="E38" s="14"/>
      <c r="F38" s="26"/>
    </row>
    <row r="39" spans="1:6" ht="15" thickBot="1">
      <c r="A39" s="438" t="s">
        <v>518</v>
      </c>
      <c r="B39" s="439"/>
      <c r="C39" s="439"/>
      <c r="D39" s="439"/>
      <c r="E39" s="440"/>
      <c r="F39" s="26"/>
    </row>
    <row r="40" spans="1:6" ht="29.25" customHeight="1" thickBot="1">
      <c r="A40" s="13" t="s">
        <v>519</v>
      </c>
      <c r="B40" s="11"/>
      <c r="C40" s="14">
        <f t="shared" si="1"/>
        <v>0</v>
      </c>
      <c r="D40" s="14">
        <v>5.0000000000000001E-3</v>
      </c>
      <c r="E40" s="11"/>
      <c r="F40" s="26"/>
    </row>
    <row r="41" spans="1:6" ht="43.5" customHeight="1" thickBot="1">
      <c r="A41" s="13" t="s">
        <v>520</v>
      </c>
      <c r="B41" s="11"/>
      <c r="C41" s="14">
        <f t="shared" si="1"/>
        <v>0</v>
      </c>
      <c r="D41" s="14">
        <v>2.5499999999999998E-2</v>
      </c>
      <c r="E41" s="11"/>
      <c r="F41" s="26"/>
    </row>
    <row r="42" spans="1:6" ht="60.75" thickBot="1">
      <c r="A42" s="13" t="s">
        <v>523</v>
      </c>
      <c r="B42" s="11"/>
      <c r="C42" s="14">
        <f t="shared" si="1"/>
        <v>0</v>
      </c>
      <c r="D42" s="14">
        <v>8.9999999999999993E-3</v>
      </c>
      <c r="E42" s="11"/>
      <c r="F42" s="26"/>
    </row>
    <row r="43" spans="1:6" ht="15" thickBot="1">
      <c r="A43" s="438" t="s">
        <v>524</v>
      </c>
      <c r="B43" s="439"/>
      <c r="C43" s="439"/>
      <c r="D43" s="439"/>
      <c r="E43" s="440"/>
      <c r="F43" s="26"/>
    </row>
    <row r="44" spans="1:6" ht="44.25" customHeight="1" thickBot="1">
      <c r="A44" s="13" t="s">
        <v>525</v>
      </c>
      <c r="B44" s="11"/>
      <c r="C44" s="14">
        <f>D44*B44*12/1000</f>
        <v>0</v>
      </c>
      <c r="D44" s="14">
        <v>1.1999999999999999E-3</v>
      </c>
      <c r="E44" s="11"/>
      <c r="F44" s="26"/>
    </row>
    <row r="45" spans="1:6" ht="30.75" customHeight="1" thickBot="1">
      <c r="A45" s="13" t="s">
        <v>526</v>
      </c>
      <c r="B45" s="11"/>
      <c r="C45" s="14">
        <f>D45*B45*12/1000</f>
        <v>0</v>
      </c>
      <c r="D45" s="14">
        <v>3.32E-2</v>
      </c>
      <c r="E45" s="11"/>
      <c r="F45" s="26"/>
    </row>
    <row r="46" spans="1:6" ht="18" customHeight="1" thickBot="1">
      <c r="A46" s="13" t="s">
        <v>527</v>
      </c>
      <c r="B46" s="11"/>
      <c r="C46" s="14">
        <f>D46*B46*12/1000</f>
        <v>0</v>
      </c>
      <c r="D46" s="14">
        <v>6.3E-3</v>
      </c>
      <c r="E46" s="11"/>
      <c r="F46" s="26"/>
    </row>
    <row r="47" spans="1:6" ht="15.75" customHeight="1" thickBot="1">
      <c r="A47" s="13" t="s">
        <v>528</v>
      </c>
      <c r="B47" s="11"/>
      <c r="C47" s="14">
        <f>D47*B47*12/1000</f>
        <v>0</v>
      </c>
      <c r="D47" s="14">
        <v>4.8399999999999999E-2</v>
      </c>
      <c r="E47" s="11"/>
      <c r="F47" s="26"/>
    </row>
    <row r="48" spans="1:6" ht="15" thickBot="1">
      <c r="A48" s="438" t="s">
        <v>531</v>
      </c>
      <c r="B48" s="439"/>
      <c r="C48" s="439"/>
      <c r="D48" s="439"/>
      <c r="E48" s="440"/>
      <c r="F48" s="26"/>
    </row>
    <row r="49" spans="1:6" ht="18.75" customHeight="1" thickBot="1">
      <c r="A49" s="13" t="s">
        <v>532</v>
      </c>
      <c r="B49" s="11"/>
      <c r="C49" s="14">
        <f t="shared" ref="C49:C68" si="2">D49*B49*12/1000</f>
        <v>0</v>
      </c>
      <c r="D49" s="14">
        <v>0.09</v>
      </c>
      <c r="E49" s="11"/>
      <c r="F49" s="26"/>
    </row>
    <row r="50" spans="1:6" ht="45.75" customHeight="1" thickBot="1">
      <c r="A50" s="13" t="s">
        <v>533</v>
      </c>
      <c r="B50" s="11"/>
      <c r="C50" s="14">
        <f t="shared" si="2"/>
        <v>0</v>
      </c>
      <c r="D50" s="14">
        <v>1.1999999999999999E-3</v>
      </c>
      <c r="E50" s="11"/>
      <c r="F50" s="26"/>
    </row>
    <row r="51" spans="1:6" ht="18" customHeight="1" thickBot="1">
      <c r="A51" s="13" t="s">
        <v>534</v>
      </c>
      <c r="B51" s="11"/>
      <c r="C51" s="14">
        <f t="shared" si="2"/>
        <v>0</v>
      </c>
      <c r="D51" s="14">
        <v>2.5000000000000001E-2</v>
      </c>
      <c r="E51" s="11"/>
      <c r="F51" s="26"/>
    </row>
    <row r="52" spans="1:6" ht="30" customHeight="1" thickBot="1">
      <c r="A52" s="13" t="s">
        <v>535</v>
      </c>
      <c r="B52" s="11"/>
      <c r="C52" s="14">
        <f t="shared" si="2"/>
        <v>0</v>
      </c>
      <c r="D52" s="14">
        <v>2.3999999999999998E-3</v>
      </c>
      <c r="E52" s="11"/>
      <c r="F52" s="26"/>
    </row>
    <row r="53" spans="1:6" ht="59.25" customHeight="1" thickBot="1">
      <c r="A53" s="13" t="s">
        <v>536</v>
      </c>
      <c r="B53" s="11"/>
      <c r="C53" s="14">
        <f t="shared" si="2"/>
        <v>0</v>
      </c>
      <c r="D53" s="14">
        <v>1.1999999999999999E-3</v>
      </c>
      <c r="E53" s="11"/>
      <c r="F53" s="26"/>
    </row>
    <row r="54" spans="1:6" ht="30" customHeight="1" thickBot="1">
      <c r="A54" s="13" t="s">
        <v>537</v>
      </c>
      <c r="B54" s="11"/>
      <c r="C54" s="14">
        <f t="shared" si="2"/>
        <v>0</v>
      </c>
      <c r="D54" s="14">
        <v>6.3E-3</v>
      </c>
      <c r="E54" s="11"/>
      <c r="F54" s="26"/>
    </row>
    <row r="55" spans="1:6" ht="30.75" customHeight="1" thickBot="1">
      <c r="A55" s="13" t="s">
        <v>538</v>
      </c>
      <c r="B55" s="11"/>
      <c r="C55" s="14">
        <f t="shared" si="2"/>
        <v>0</v>
      </c>
      <c r="D55" s="14">
        <v>0.01</v>
      </c>
      <c r="E55" s="11"/>
      <c r="F55" s="26"/>
    </row>
    <row r="56" spans="1:6" ht="29.25" customHeight="1" thickBot="1">
      <c r="A56" s="13" t="s">
        <v>539</v>
      </c>
      <c r="B56" s="11"/>
      <c r="C56" s="14">
        <f t="shared" si="2"/>
        <v>0</v>
      </c>
      <c r="D56" s="14">
        <v>3.8E-3</v>
      </c>
      <c r="E56" s="11"/>
      <c r="F56" s="26"/>
    </row>
    <row r="57" spans="1:6" ht="30.75" customHeight="1" thickBot="1">
      <c r="A57" s="13" t="s">
        <v>0</v>
      </c>
      <c r="B57" s="11"/>
      <c r="C57" s="14">
        <f t="shared" si="2"/>
        <v>0</v>
      </c>
      <c r="D57" s="14">
        <v>1.23E-2</v>
      </c>
      <c r="E57" s="11"/>
      <c r="F57" s="26"/>
    </row>
    <row r="58" spans="1:6" ht="45.75" customHeight="1" thickBot="1">
      <c r="A58" s="13" t="s">
        <v>1</v>
      </c>
      <c r="B58" s="11"/>
      <c r="C58" s="14">
        <f t="shared" si="2"/>
        <v>0</v>
      </c>
      <c r="D58" s="14">
        <v>3.8E-3</v>
      </c>
      <c r="E58" s="11"/>
      <c r="F58" s="26"/>
    </row>
    <row r="59" spans="1:6" ht="31.5" customHeight="1" thickBot="1">
      <c r="A59" s="13" t="s">
        <v>2</v>
      </c>
      <c r="B59" s="11"/>
      <c r="C59" s="14">
        <f t="shared" si="2"/>
        <v>0</v>
      </c>
      <c r="D59" s="14">
        <v>3.7999999999999999E-2</v>
      </c>
      <c r="E59" s="11"/>
      <c r="F59" s="26"/>
    </row>
    <row r="60" spans="1:6" ht="31.5" customHeight="1" thickBot="1">
      <c r="A60" s="13" t="s">
        <v>3</v>
      </c>
      <c r="B60" s="11"/>
      <c r="C60" s="14">
        <f t="shared" si="2"/>
        <v>0</v>
      </c>
      <c r="D60" s="14">
        <v>1.23E-2</v>
      </c>
      <c r="E60" s="11"/>
      <c r="F60" s="26"/>
    </row>
    <row r="61" spans="1:6" ht="32.25" customHeight="1" thickBot="1">
      <c r="A61" s="13" t="s">
        <v>4</v>
      </c>
      <c r="B61" s="11"/>
      <c r="C61" s="14">
        <f t="shared" si="2"/>
        <v>0</v>
      </c>
      <c r="D61" s="14">
        <v>1.1999999999999999E-3</v>
      </c>
      <c r="E61" s="11"/>
      <c r="F61" s="26"/>
    </row>
    <row r="62" spans="1:6" ht="15" thickBot="1">
      <c r="A62" s="438" t="s">
        <v>5</v>
      </c>
      <c r="B62" s="439"/>
      <c r="C62" s="439"/>
      <c r="D62" s="439"/>
      <c r="E62" s="440"/>
      <c r="F62" s="26"/>
    </row>
    <row r="63" spans="1:6" ht="30" customHeight="1" thickBot="1">
      <c r="A63" s="28" t="s">
        <v>6</v>
      </c>
      <c r="B63" s="20"/>
      <c r="C63" s="14">
        <f t="shared" si="2"/>
        <v>0</v>
      </c>
      <c r="D63" s="29">
        <v>0.25600000000000001</v>
      </c>
      <c r="E63" s="29"/>
      <c r="F63" s="26"/>
    </row>
    <row r="64" spans="1:6" ht="30.75" customHeight="1" thickBot="1">
      <c r="A64" s="13" t="s">
        <v>7</v>
      </c>
      <c r="B64" s="11"/>
      <c r="C64" s="14">
        <f t="shared" si="2"/>
        <v>0</v>
      </c>
      <c r="D64" s="14">
        <v>7.0000000000000001E-3</v>
      </c>
      <c r="E64" s="14"/>
      <c r="F64" s="26"/>
    </row>
    <row r="65" spans="1:6" ht="30.75" customHeight="1" thickBot="1">
      <c r="A65" s="13" t="s">
        <v>8</v>
      </c>
      <c r="B65" s="11"/>
      <c r="C65" s="14">
        <f t="shared" si="2"/>
        <v>0</v>
      </c>
      <c r="D65" s="14">
        <v>0.24</v>
      </c>
      <c r="E65" s="14"/>
      <c r="F65" s="26"/>
    </row>
    <row r="66" spans="1:6" ht="30.75" customHeight="1" thickBot="1">
      <c r="A66" s="13" t="s">
        <v>9</v>
      </c>
      <c r="B66" s="11"/>
      <c r="C66" s="14">
        <f t="shared" si="2"/>
        <v>0</v>
      </c>
      <c r="D66" s="14">
        <v>0.13</v>
      </c>
      <c r="E66" s="14"/>
      <c r="F66" s="26"/>
    </row>
    <row r="67" spans="1:6" ht="30" customHeight="1" thickBot="1">
      <c r="A67" s="13" t="s">
        <v>10</v>
      </c>
      <c r="B67" s="11"/>
      <c r="C67" s="14">
        <f t="shared" si="2"/>
        <v>0</v>
      </c>
      <c r="D67" s="14">
        <v>1.1999999999999999E-3</v>
      </c>
      <c r="E67" s="14"/>
      <c r="F67" s="26"/>
    </row>
    <row r="68" spans="1:6" ht="29.25" customHeight="1" thickBot="1">
      <c r="A68" s="13" t="s">
        <v>11</v>
      </c>
      <c r="B68" s="11"/>
      <c r="C68" s="14">
        <f t="shared" si="2"/>
        <v>0</v>
      </c>
      <c r="D68" s="14">
        <v>5.0000000000000001E-3</v>
      </c>
      <c r="E68" s="14"/>
      <c r="F68" s="26"/>
    </row>
    <row r="69" spans="1:6" ht="15" thickBot="1">
      <c r="A69" s="438" t="s">
        <v>12</v>
      </c>
      <c r="B69" s="439"/>
      <c r="C69" s="439"/>
      <c r="D69" s="439"/>
      <c r="E69" s="440"/>
      <c r="F69" s="26"/>
    </row>
    <row r="70" spans="1:6" ht="30.75" customHeight="1" thickBot="1">
      <c r="A70" s="13" t="s">
        <v>13</v>
      </c>
      <c r="B70" s="11"/>
      <c r="C70" s="14">
        <f>D70*B70*12/1000</f>
        <v>0</v>
      </c>
      <c r="D70" s="14">
        <v>1.1999999999999999E-3</v>
      </c>
      <c r="E70" s="11"/>
      <c r="F70" s="26"/>
    </row>
    <row r="71" spans="1:6" ht="18" customHeight="1" thickBot="1">
      <c r="A71" s="13" t="s">
        <v>14</v>
      </c>
      <c r="B71" s="11"/>
      <c r="C71" s="14">
        <f>D71*B71*12/1000</f>
        <v>0</v>
      </c>
      <c r="D71" s="14">
        <v>2.5000000000000001E-3</v>
      </c>
      <c r="E71" s="11"/>
      <c r="F71" s="26"/>
    </row>
    <row r="72" spans="1:6" ht="33" customHeight="1" thickBot="1">
      <c r="A72" s="13" t="s">
        <v>15</v>
      </c>
      <c r="B72" s="11"/>
      <c r="C72" s="14">
        <f>D72*B72*12/1000</f>
        <v>0</v>
      </c>
      <c r="D72" s="14">
        <v>0.02</v>
      </c>
      <c r="E72" s="11"/>
      <c r="F72" s="26"/>
    </row>
    <row r="73" spans="1:6" ht="19.5" customHeight="1" thickBot="1">
      <c r="A73" s="13" t="s">
        <v>16</v>
      </c>
      <c r="B73" s="11"/>
      <c r="C73" s="14">
        <f>D73*B73*12/1000</f>
        <v>0</v>
      </c>
      <c r="D73" s="14">
        <v>3.8E-3</v>
      </c>
      <c r="E73" s="11"/>
      <c r="F73" s="26"/>
    </row>
    <row r="74" spans="1:6" ht="15" hidden="1" thickBot="1">
      <c r="A74" s="438" t="s">
        <v>17</v>
      </c>
      <c r="B74" s="439"/>
      <c r="C74" s="439"/>
      <c r="D74" s="439"/>
      <c r="E74" s="440"/>
      <c r="F74" s="26"/>
    </row>
    <row r="75" spans="1:6" ht="45.75" hidden="1" thickBot="1">
      <c r="A75" s="13" t="s">
        <v>19</v>
      </c>
      <c r="B75" s="11"/>
      <c r="C75" s="14">
        <v>0</v>
      </c>
      <c r="D75" s="14">
        <v>0</v>
      </c>
      <c r="E75" s="11"/>
      <c r="F75" s="26"/>
    </row>
    <row r="76" spans="1:6" ht="45" hidden="1" customHeight="1" thickBot="1">
      <c r="A76" s="13" t="s">
        <v>20</v>
      </c>
      <c r="B76" s="11"/>
      <c r="C76" s="14">
        <v>0</v>
      </c>
      <c r="D76" s="14">
        <v>0</v>
      </c>
      <c r="E76" s="11"/>
      <c r="F76" s="30"/>
    </row>
    <row r="77" spans="1:6" ht="15" thickBot="1">
      <c r="A77" s="438" t="s">
        <v>21</v>
      </c>
      <c r="B77" s="439"/>
      <c r="C77" s="439"/>
      <c r="D77" s="439"/>
      <c r="E77" s="439"/>
      <c r="F77" s="440"/>
    </row>
    <row r="78" spans="1:6">
      <c r="A78" s="464" t="s">
        <v>22</v>
      </c>
      <c r="B78" s="441"/>
      <c r="C78" s="462">
        <v>0</v>
      </c>
      <c r="D78" s="462">
        <v>0.26090000000000002</v>
      </c>
      <c r="E78" s="468"/>
      <c r="F78" s="469"/>
    </row>
    <row r="79" spans="1:6" ht="16.5" customHeight="1" thickBot="1">
      <c r="A79" s="465"/>
      <c r="B79" s="443"/>
      <c r="C79" s="463"/>
      <c r="D79" s="463"/>
      <c r="E79" s="455"/>
      <c r="F79" s="457"/>
    </row>
    <row r="80" spans="1:6" ht="32.25" customHeight="1" thickBot="1">
      <c r="A80" s="13" t="s">
        <v>23</v>
      </c>
      <c r="B80" s="11"/>
      <c r="C80" s="14">
        <f>D80*B80*12/1000</f>
        <v>0</v>
      </c>
      <c r="D80" s="14">
        <v>0.26090000000000002</v>
      </c>
      <c r="E80" s="438"/>
      <c r="F80" s="440"/>
    </row>
    <row r="81" spans="1:6" ht="15" thickBot="1">
      <c r="A81" s="438" t="s">
        <v>45</v>
      </c>
      <c r="B81" s="439"/>
      <c r="C81" s="439"/>
      <c r="D81" s="439"/>
      <c r="E81" s="440"/>
      <c r="F81" s="26"/>
    </row>
    <row r="82" spans="1:6" ht="33.75" customHeight="1" thickBot="1">
      <c r="A82" s="13" t="s">
        <v>46</v>
      </c>
      <c r="B82" s="11"/>
      <c r="C82" s="14">
        <f>D82*B82*12/1000</f>
        <v>0</v>
      </c>
      <c r="D82" s="14">
        <v>0.24</v>
      </c>
      <c r="E82" s="11"/>
      <c r="F82" s="26"/>
    </row>
    <row r="83" spans="1:6" ht="15" thickBot="1">
      <c r="A83" s="438" t="s">
        <v>49</v>
      </c>
      <c r="B83" s="439"/>
      <c r="C83" s="439"/>
      <c r="D83" s="439"/>
      <c r="E83" s="440"/>
      <c r="F83" s="26"/>
    </row>
    <row r="84" spans="1:6" ht="49.5" customHeight="1" thickBot="1">
      <c r="A84" s="13" t="s">
        <v>50</v>
      </c>
      <c r="B84" s="11"/>
      <c r="C84" s="14">
        <f>D84*B84*12/1000</f>
        <v>0</v>
      </c>
      <c r="D84" s="14">
        <v>7.0000000000000007E-2</v>
      </c>
      <c r="E84" s="11"/>
      <c r="F84" s="26"/>
    </row>
    <row r="85" spans="1:6" ht="49.5" customHeight="1" thickBot="1">
      <c r="A85" s="13" t="s">
        <v>51</v>
      </c>
      <c r="B85" s="11"/>
      <c r="C85" s="14">
        <f>D85*B85*12/1000</f>
        <v>0</v>
      </c>
      <c r="D85" s="14">
        <v>0.05</v>
      </c>
      <c r="E85" s="11"/>
      <c r="F85" s="26"/>
    </row>
    <row r="86" spans="1:6" ht="33" customHeight="1" thickBot="1">
      <c r="A86" s="13" t="s">
        <v>52</v>
      </c>
      <c r="B86" s="11"/>
      <c r="C86" s="14">
        <f>D86*B86*12/1000</f>
        <v>0</v>
      </c>
      <c r="D86" s="14">
        <v>0.28000000000000003</v>
      </c>
      <c r="E86" s="11"/>
      <c r="F86" s="26"/>
    </row>
    <row r="87" spans="1:6" ht="47.25" customHeight="1" thickBot="1">
      <c r="A87" s="13" t="s">
        <v>53</v>
      </c>
      <c r="B87" s="11"/>
      <c r="C87" s="14">
        <f>D87*B87*12/1000</f>
        <v>0</v>
      </c>
      <c r="D87" s="14">
        <v>1.4999999999999999E-2</v>
      </c>
      <c r="E87" s="11"/>
      <c r="F87" s="26"/>
    </row>
    <row r="88" spans="1:6" ht="44.25" customHeight="1" thickBot="1">
      <c r="A88" s="13" t="s">
        <v>54</v>
      </c>
      <c r="B88" s="11"/>
      <c r="C88" s="14">
        <f>D88*B88*12/1000</f>
        <v>0</v>
      </c>
      <c r="D88" s="14">
        <v>0.04</v>
      </c>
      <c r="E88" s="11"/>
      <c r="F88" s="26"/>
    </row>
    <row r="89" spans="1:6" ht="15" thickBot="1">
      <c r="A89" s="438" t="s">
        <v>55</v>
      </c>
      <c r="B89" s="439"/>
      <c r="C89" s="439"/>
      <c r="D89" s="439"/>
      <c r="E89" s="440"/>
      <c r="F89" s="26"/>
    </row>
    <row r="90" spans="1:6" ht="31.5" customHeight="1" thickBot="1">
      <c r="A90" s="13" t="s">
        <v>56</v>
      </c>
      <c r="B90" s="11"/>
      <c r="C90" s="14">
        <f>D90*B90*12/1000</f>
        <v>0</v>
      </c>
      <c r="D90" s="14">
        <v>0.14000000000000001</v>
      </c>
      <c r="E90" s="11"/>
      <c r="F90" s="26"/>
    </row>
    <row r="91" spans="1:6" ht="32.25" customHeight="1" thickBot="1">
      <c r="A91" s="13" t="s">
        <v>57</v>
      </c>
      <c r="B91" s="11"/>
      <c r="C91" s="14">
        <f>D91*B91*12/1000</f>
        <v>0</v>
      </c>
      <c r="D91" s="14">
        <v>0.14000000000000001</v>
      </c>
      <c r="E91" s="11"/>
      <c r="F91" s="26"/>
    </row>
    <row r="92" spans="1:6" ht="45" customHeight="1" thickBot="1">
      <c r="A92" s="13" t="s">
        <v>69</v>
      </c>
      <c r="B92" s="11"/>
      <c r="C92" s="14">
        <f>D92*B92*12/1000</f>
        <v>0</v>
      </c>
      <c r="D92" s="14">
        <v>0.13</v>
      </c>
      <c r="E92" s="11"/>
      <c r="F92" s="26"/>
    </row>
    <row r="93" spans="1:6" ht="15" thickBot="1">
      <c r="A93" s="438" t="s">
        <v>59</v>
      </c>
      <c r="B93" s="439"/>
      <c r="C93" s="439"/>
      <c r="D93" s="439"/>
      <c r="E93" s="440"/>
      <c r="F93" s="26"/>
    </row>
    <row r="94" spans="1:6" ht="15.75" hidden="1" thickBot="1">
      <c r="A94" s="13" t="s">
        <v>61</v>
      </c>
      <c r="B94" s="11"/>
      <c r="C94" s="14">
        <v>0</v>
      </c>
      <c r="D94" s="14"/>
      <c r="E94" s="11"/>
      <c r="F94" s="26"/>
    </row>
    <row r="95" spans="1:6" ht="15.75" thickBot="1">
      <c r="A95" s="13" t="s">
        <v>64</v>
      </c>
      <c r="B95" s="11"/>
      <c r="C95" s="14">
        <f>D95*B95*12/1000</f>
        <v>0</v>
      </c>
      <c r="D95" s="14">
        <v>0.64</v>
      </c>
      <c r="E95" s="11"/>
      <c r="F95" s="26"/>
    </row>
    <row r="96" spans="1:6" ht="15" thickBot="1">
      <c r="A96" s="22" t="s">
        <v>65</v>
      </c>
      <c r="B96" s="11"/>
      <c r="C96" s="11">
        <f>C13+C15+C16+C17+C18+C19+C20+C22+C23+C25+C26+C27+C28+C30+C31+C32+C33+C34+C35+C36+C37+C38+C40+C41+C42+C44+C45+C46+C47+C49+C50+C51+C52+C53+C54+C55+C56+C57+C58+C59+C60+C61+C63+C68+C70+C71+C72+C73+C75+C76+C78+C80+C82+C84+C85+C86+C87+C88+C90+C91+C92+C94+C95</f>
        <v>0</v>
      </c>
      <c r="D96" s="33">
        <f>D13+D15+D16+D17+D18+D19+D20+D22+D23+D25+D26+D27+D28+D30+D31+D32+D33+D34+D35+D36+D37+D38+D40+D41+D42+D44+D45+D46+D47+D49+D50+D51+D52+D53+D54+D55+D56+D57+D58+D59+D60+D61+D63+D68+D70+D71+D72+D73+D75+D76+D78+D80+D82+D84+D85+D86+D87+D88+D90+D91+D92+D94+D95</f>
        <v>4.8047999999999984</v>
      </c>
      <c r="E96" s="11"/>
      <c r="F96" s="26"/>
    </row>
    <row r="97" spans="1:6" ht="44.25" customHeight="1" thickBot="1">
      <c r="A97" s="22" t="s">
        <v>66</v>
      </c>
      <c r="B97" s="11"/>
      <c r="C97" s="33">
        <f>C96+об.многоэт!C23</f>
        <v>6205.8521135856008</v>
      </c>
      <c r="D97" s="33">
        <f>D96+об.многоэт!D23</f>
        <v>9.7705383999999995</v>
      </c>
      <c r="E97" s="11"/>
      <c r="F97" s="26"/>
    </row>
    <row r="98" spans="1:6" ht="14.25">
      <c r="A98" s="25"/>
    </row>
    <row r="99" spans="1:6" ht="14.25">
      <c r="A99" s="31" t="s">
        <v>67</v>
      </c>
    </row>
    <row r="100" spans="1:6" ht="14.25">
      <c r="A100" s="31"/>
    </row>
    <row r="101" spans="1:6" ht="14.25">
      <c r="A101" s="31"/>
    </row>
    <row r="102" spans="1:6">
      <c r="A102" s="32"/>
    </row>
  </sheetData>
  <mergeCells count="41">
    <mergeCell ref="A89:E89"/>
    <mergeCell ref="A93:E93"/>
    <mergeCell ref="E80:F80"/>
    <mergeCell ref="A2:E2"/>
    <mergeCell ref="A3:E3"/>
    <mergeCell ref="A4:E4"/>
    <mergeCell ref="A5:E5"/>
    <mergeCell ref="A7:E7"/>
    <mergeCell ref="A48:E48"/>
    <mergeCell ref="A62:E62"/>
    <mergeCell ref="A69:E69"/>
    <mergeCell ref="A83:E83"/>
    <mergeCell ref="A74:E74"/>
    <mergeCell ref="A77:F77"/>
    <mergeCell ref="A78:A79"/>
    <mergeCell ref="B78:B79"/>
    <mergeCell ref="C78:C79"/>
    <mergeCell ref="A81:E81"/>
    <mergeCell ref="D78:D79"/>
    <mergeCell ref="E78:F79"/>
    <mergeCell ref="F23:F24"/>
    <mergeCell ref="A29:E29"/>
    <mergeCell ref="A39:E39"/>
    <mergeCell ref="A43:E43"/>
    <mergeCell ref="D23:D24"/>
    <mergeCell ref="A21:E21"/>
    <mergeCell ref="B23:B24"/>
    <mergeCell ref="C23:C24"/>
    <mergeCell ref="D13:D14"/>
    <mergeCell ref="E23:E24"/>
    <mergeCell ref="C13:C14"/>
    <mergeCell ref="F9:F10"/>
    <mergeCell ref="A12:E12"/>
    <mergeCell ref="E13:E14"/>
    <mergeCell ref="F13:F14"/>
    <mergeCell ref="A9:A11"/>
    <mergeCell ref="B9:B11"/>
    <mergeCell ref="A13:A14"/>
    <mergeCell ref="B13:B14"/>
    <mergeCell ref="D9:D10"/>
    <mergeCell ref="E9:E11"/>
  </mergeCells>
  <phoneticPr fontId="2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"/>
  <dimension ref="A1:E31"/>
  <sheetViews>
    <sheetView topLeftCell="A19" workbookViewId="0">
      <selection activeCell="C25" sqref="C25:D25"/>
    </sheetView>
  </sheetViews>
  <sheetFormatPr defaultRowHeight="12.75"/>
  <cols>
    <col min="1" max="1" width="29.42578125" customWidth="1"/>
    <col min="2" max="2" width="19.85546875" customWidth="1"/>
    <col min="3" max="3" width="14.85546875" customWidth="1"/>
    <col min="4" max="4" width="12.85546875" customWidth="1"/>
    <col min="5" max="5" width="11.7109375" customWidth="1"/>
  </cols>
  <sheetData>
    <row r="1" spans="1:5" ht="15.75">
      <c r="A1" s="1" t="s">
        <v>434</v>
      </c>
    </row>
    <row r="2" spans="1:5" ht="15.75">
      <c r="A2" s="1" t="s">
        <v>435</v>
      </c>
    </row>
    <row r="3" spans="1:5" ht="15.75">
      <c r="A3" s="1" t="s">
        <v>436</v>
      </c>
    </row>
    <row r="4" spans="1:5" ht="16.5" thickBot="1">
      <c r="A4" s="34"/>
    </row>
    <row r="5" spans="1:5" ht="14.25">
      <c r="A5" s="441" t="s">
        <v>437</v>
      </c>
      <c r="B5" s="3"/>
      <c r="C5" s="7" t="s">
        <v>439</v>
      </c>
      <c r="D5" s="7" t="s">
        <v>454</v>
      </c>
      <c r="E5" s="441" t="s">
        <v>458</v>
      </c>
    </row>
    <row r="6" spans="1:5" ht="35.25">
      <c r="A6" s="442"/>
      <c r="B6" s="4" t="s">
        <v>438</v>
      </c>
      <c r="C6" s="8" t="s">
        <v>440</v>
      </c>
      <c r="D6" s="8" t="s">
        <v>455</v>
      </c>
      <c r="E6" s="442"/>
    </row>
    <row r="7" spans="1:5" ht="14.25">
      <c r="A7" s="442"/>
      <c r="B7" s="5"/>
      <c r="C7" s="8" t="s">
        <v>441</v>
      </c>
      <c r="D7" s="8" t="s">
        <v>456</v>
      </c>
      <c r="E7" s="442"/>
    </row>
    <row r="8" spans="1:5" ht="29.25" thickBot="1">
      <c r="A8" s="442"/>
      <c r="B8" s="5"/>
      <c r="C8" s="9"/>
      <c r="D8" s="11" t="s">
        <v>457</v>
      </c>
      <c r="E8" s="442"/>
    </row>
    <row r="9" spans="1:5" ht="43.5" thickBot="1">
      <c r="A9" s="443"/>
      <c r="B9" s="6"/>
      <c r="C9" s="10"/>
      <c r="D9" s="12" t="s">
        <v>70</v>
      </c>
      <c r="E9" s="443"/>
    </row>
    <row r="10" spans="1:5" ht="28.5" customHeight="1" thickBot="1">
      <c r="A10" s="438" t="s">
        <v>460</v>
      </c>
      <c r="B10" s="439"/>
      <c r="C10" s="439"/>
      <c r="D10" s="439"/>
      <c r="E10" s="440"/>
    </row>
    <row r="11" spans="1:5" ht="33" customHeight="1" thickBot="1">
      <c r="A11" s="13" t="s">
        <v>461</v>
      </c>
      <c r="B11" s="14" t="s">
        <v>462</v>
      </c>
      <c r="C11" s="14">
        <f>D11*F11/1000</f>
        <v>0</v>
      </c>
      <c r="D11" s="14">
        <v>7.7999999999999996E-3</v>
      </c>
      <c r="E11" s="14"/>
    </row>
    <row r="12" spans="1:5" ht="42.75" customHeight="1" thickBot="1">
      <c r="A12" s="438" t="s">
        <v>463</v>
      </c>
      <c r="B12" s="439"/>
      <c r="C12" s="439"/>
      <c r="D12" s="439"/>
      <c r="E12" s="440"/>
    </row>
    <row r="13" spans="1:5" ht="18" customHeight="1" thickBot="1">
      <c r="A13" s="15" t="s">
        <v>478</v>
      </c>
      <c r="B13" s="41" t="s">
        <v>464</v>
      </c>
      <c r="C13" s="14">
        <f>D13*F13/1000</f>
        <v>0</v>
      </c>
      <c r="D13" s="14">
        <v>1.72E-2</v>
      </c>
      <c r="E13" s="14"/>
    </row>
    <row r="14" spans="1:5" ht="30.75" thickBot="1">
      <c r="A14" s="15" t="s">
        <v>479</v>
      </c>
      <c r="B14" s="41" t="s">
        <v>464</v>
      </c>
      <c r="C14" s="14">
        <f>D14*F14/1000</f>
        <v>0</v>
      </c>
      <c r="D14" s="14">
        <v>2.3E-2</v>
      </c>
      <c r="E14" s="14"/>
    </row>
    <row r="15" spans="1:5" ht="15" thickBot="1">
      <c r="A15" s="438" t="s">
        <v>74</v>
      </c>
      <c r="B15" s="439"/>
      <c r="C15" s="439"/>
      <c r="D15" s="439"/>
      <c r="E15" s="440"/>
    </row>
    <row r="16" spans="1:5" ht="30.75" thickBot="1">
      <c r="A16" s="15" t="s">
        <v>465</v>
      </c>
      <c r="B16" s="16" t="s">
        <v>462</v>
      </c>
      <c r="C16" s="14">
        <f>D16*F16/1000</f>
        <v>0</v>
      </c>
      <c r="D16" s="14">
        <v>6.6E-3</v>
      </c>
      <c r="E16" s="14"/>
    </row>
    <row r="17" spans="1:5" ht="28.5" customHeight="1" thickBot="1">
      <c r="A17" s="438" t="s">
        <v>80</v>
      </c>
      <c r="B17" s="439"/>
      <c r="C17" s="439"/>
      <c r="D17" s="439"/>
      <c r="E17" s="440"/>
    </row>
    <row r="18" spans="1:5" ht="36.75" customHeight="1" thickBot="1">
      <c r="A18" s="470" t="s">
        <v>467</v>
      </c>
      <c r="B18" s="23" t="s">
        <v>468</v>
      </c>
      <c r="C18" s="14">
        <f>D18*F18/1000</f>
        <v>0</v>
      </c>
      <c r="D18" s="14">
        <v>0.1658</v>
      </c>
      <c r="E18" s="14"/>
    </row>
    <row r="19" spans="1:5" ht="37.5" customHeight="1" thickBot="1">
      <c r="A19" s="471"/>
      <c r="B19" s="23" t="s">
        <v>469</v>
      </c>
      <c r="C19" s="14">
        <f>D19*F19/1000</f>
        <v>0</v>
      </c>
      <c r="D19" s="14">
        <v>2.8799999999999999E-2</v>
      </c>
      <c r="E19" s="14"/>
    </row>
    <row r="20" spans="1:5" ht="36" customHeight="1" thickBot="1">
      <c r="A20" s="471"/>
      <c r="B20" s="23" t="s">
        <v>470</v>
      </c>
      <c r="C20" s="14">
        <f>D20*F20/1000</f>
        <v>0</v>
      </c>
      <c r="D20" s="14">
        <v>4.6600000000000003E-2</v>
      </c>
      <c r="E20" s="14"/>
    </row>
    <row r="21" spans="1:5" ht="60.75" customHeight="1" thickBot="1">
      <c r="A21" s="472"/>
      <c r="B21" s="24" t="s">
        <v>471</v>
      </c>
      <c r="C21" s="14">
        <f>D21*F21/1000</f>
        <v>0</v>
      </c>
      <c r="D21" s="14">
        <v>1.2999999999999999E-2</v>
      </c>
      <c r="E21" s="14"/>
    </row>
    <row r="22" spans="1:5" ht="18.75" customHeight="1" thickBot="1">
      <c r="A22" s="438" t="s">
        <v>81</v>
      </c>
      <c r="B22" s="439"/>
      <c r="C22" s="439"/>
      <c r="D22" s="439"/>
      <c r="E22" s="440"/>
    </row>
    <row r="23" spans="1:5" ht="35.25" customHeight="1" thickBot="1">
      <c r="A23" s="15" t="s">
        <v>473</v>
      </c>
      <c r="B23" s="24" t="s">
        <v>474</v>
      </c>
      <c r="C23" s="14">
        <f>D23*F23/1000</f>
        <v>0</v>
      </c>
      <c r="D23" s="14">
        <v>2.7900000000000001E-2</v>
      </c>
      <c r="E23" s="14"/>
    </row>
    <row r="24" spans="1:5" ht="36.75" thickBot="1">
      <c r="A24" s="15" t="s">
        <v>475</v>
      </c>
      <c r="B24" s="24" t="s">
        <v>476</v>
      </c>
      <c r="C24" s="14">
        <f>D24*F24/1000</f>
        <v>0</v>
      </c>
      <c r="D24" s="14">
        <v>2.5999999999999999E-2</v>
      </c>
      <c r="E24" s="14"/>
    </row>
    <row r="25" spans="1:5" ht="15" thickBot="1">
      <c r="A25" s="18" t="s">
        <v>477</v>
      </c>
      <c r="B25" s="19"/>
      <c r="C25" s="11">
        <f>C11+C13+C14+C16+C18+C19+C20+C21+C23+C24</f>
        <v>0</v>
      </c>
      <c r="D25" s="11">
        <f>D11+D13+D14+D16+D18+D19+D20+D21+D23+D24</f>
        <v>0.36270000000000002</v>
      </c>
      <c r="E25" s="11"/>
    </row>
    <row r="26" spans="1:5" ht="14.25">
      <c r="A26" s="25"/>
    </row>
    <row r="27" spans="1:5" ht="14.25">
      <c r="A27" s="25"/>
    </row>
    <row r="28" spans="1:5" ht="14.25">
      <c r="A28" s="25"/>
    </row>
    <row r="29" spans="1:5" ht="14.25">
      <c r="A29" s="25"/>
    </row>
    <row r="30" spans="1:5" ht="14.25">
      <c r="A30" s="25"/>
    </row>
    <row r="31" spans="1:5" ht="14.25">
      <c r="A31" s="25"/>
    </row>
  </sheetData>
  <mergeCells count="8">
    <mergeCell ref="A5:A9"/>
    <mergeCell ref="E5:E9"/>
    <mergeCell ref="A10:E10"/>
    <mergeCell ref="A12:E12"/>
    <mergeCell ref="A22:E22"/>
    <mergeCell ref="A15:E15"/>
    <mergeCell ref="A17:E17"/>
    <mergeCell ref="A18:A2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03"/>
  <sheetViews>
    <sheetView workbookViewId="0">
      <selection activeCell="A110" sqref="A110"/>
    </sheetView>
  </sheetViews>
  <sheetFormatPr defaultRowHeight="12.75"/>
  <cols>
    <col min="1" max="1" width="41.28515625" customWidth="1"/>
    <col min="2" max="2" width="10.7109375" customWidth="1"/>
    <col min="3" max="3" width="11.85546875" customWidth="1"/>
    <col min="4" max="4" width="11.42578125" customWidth="1"/>
    <col min="5" max="5" width="8.28515625" customWidth="1"/>
    <col min="6" max="6" width="11.28515625" customWidth="1"/>
    <col min="7" max="7" width="12.140625" customWidth="1"/>
    <col min="8" max="14" width="7.28515625" hidden="1" customWidth="1"/>
    <col min="15" max="15" width="7.28515625" customWidth="1"/>
  </cols>
  <sheetData>
    <row r="2" spans="1:15" ht="15.75" hidden="1">
      <c r="A2" s="473" t="s">
        <v>434</v>
      </c>
      <c r="B2" s="473"/>
      <c r="C2" s="473"/>
      <c r="D2" s="473"/>
      <c r="E2" s="473"/>
      <c r="F2" s="473"/>
      <c r="G2" s="473"/>
    </row>
    <row r="3" spans="1:15" ht="15.75" hidden="1">
      <c r="A3" s="473" t="s">
        <v>480</v>
      </c>
      <c r="B3" s="473"/>
      <c r="C3" s="473"/>
      <c r="D3" s="473"/>
      <c r="E3" s="473"/>
      <c r="F3" s="473"/>
      <c r="G3" s="473"/>
    </row>
    <row r="4" spans="1:15" ht="15.75" hidden="1">
      <c r="A4" s="473" t="s">
        <v>481</v>
      </c>
      <c r="B4" s="473"/>
      <c r="C4" s="473"/>
      <c r="D4" s="473"/>
      <c r="E4" s="473"/>
      <c r="F4" s="473"/>
      <c r="G4" s="473"/>
    </row>
    <row r="5" spans="1:15" ht="15.75" hidden="1">
      <c r="A5" s="473" t="s">
        <v>482</v>
      </c>
      <c r="B5" s="473"/>
      <c r="C5" s="473"/>
      <c r="D5" s="473"/>
      <c r="E5" s="473"/>
      <c r="F5" s="473"/>
      <c r="G5" s="473"/>
    </row>
    <row r="6" spans="1:15" ht="15.75" hidden="1">
      <c r="A6" s="1"/>
    </row>
    <row r="7" spans="1:15" ht="31.5" customHeight="1">
      <c r="A7" s="665" t="s">
        <v>365</v>
      </c>
      <c r="B7" s="665"/>
      <c r="C7" s="665"/>
      <c r="D7" s="665"/>
      <c r="E7" s="665"/>
      <c r="F7" s="665"/>
      <c r="G7" s="665"/>
    </row>
    <row r="8" spans="1:15" ht="15.75">
      <c r="A8" s="473" t="s">
        <v>363</v>
      </c>
      <c r="B8" s="473"/>
      <c r="C8" s="473"/>
      <c r="D8" s="473"/>
      <c r="E8" s="473"/>
      <c r="F8" s="473"/>
      <c r="G8" s="473"/>
    </row>
    <row r="9" spans="1:15" ht="28.5" customHeight="1">
      <c r="A9" s="666" t="s">
        <v>484</v>
      </c>
      <c r="B9" s="666" t="s">
        <v>543</v>
      </c>
      <c r="C9" s="666" t="s">
        <v>548</v>
      </c>
      <c r="D9" s="666" t="s">
        <v>489</v>
      </c>
      <c r="E9" s="666" t="s">
        <v>82</v>
      </c>
      <c r="F9" s="666" t="s">
        <v>549</v>
      </c>
      <c r="G9" s="666" t="s">
        <v>458</v>
      </c>
      <c r="H9" s="621"/>
    </row>
    <row r="10" spans="1:15" ht="25.5" customHeight="1">
      <c r="A10" s="667"/>
      <c r="B10" s="667"/>
      <c r="C10" s="667"/>
      <c r="D10" s="667"/>
      <c r="E10" s="667"/>
      <c r="F10" s="667"/>
      <c r="G10" s="667"/>
      <c r="H10" s="621"/>
    </row>
    <row r="11" spans="1:15" ht="38.25" customHeight="1">
      <c r="A11" s="668"/>
      <c r="B11" s="668"/>
      <c r="C11" s="668"/>
      <c r="D11" s="668"/>
      <c r="E11" s="668"/>
      <c r="F11" s="668"/>
      <c r="G11" s="668"/>
      <c r="H11" s="26"/>
    </row>
    <row r="12" spans="1:15" ht="14.25">
      <c r="A12" s="669" t="s">
        <v>490</v>
      </c>
      <c r="B12" s="670"/>
      <c r="C12" s="670"/>
      <c r="D12" s="670"/>
      <c r="E12" s="670"/>
      <c r="F12" s="670"/>
      <c r="G12" s="671"/>
      <c r="H12" s="396"/>
      <c r="K12" s="354">
        <f>I20+I28+I38+I41+I47+I60+I67+I72</f>
        <v>3247.6475263704565</v>
      </c>
      <c r="O12" s="410"/>
    </row>
    <row r="13" spans="1:15" ht="15" customHeight="1">
      <c r="A13" s="618" t="s">
        <v>443</v>
      </c>
      <c r="B13" s="625">
        <f>обяз!G11</f>
        <v>104403.57</v>
      </c>
      <c r="C13" s="620">
        <f>D13*B13*12/1000</f>
        <v>238.04013960000006</v>
      </c>
      <c r="D13" s="615">
        <f>0.19</f>
        <v>0.19</v>
      </c>
      <c r="E13" s="616">
        <f>D13*12</f>
        <v>2.2800000000000002</v>
      </c>
      <c r="F13" s="616" t="s">
        <v>545</v>
      </c>
      <c r="G13" s="619" t="s">
        <v>276</v>
      </c>
      <c r="H13" s="634"/>
    </row>
    <row r="14" spans="1:15" ht="20.25" customHeight="1">
      <c r="A14" s="618"/>
      <c r="B14" s="626"/>
      <c r="C14" s="620"/>
      <c r="D14" s="615"/>
      <c r="E14" s="617"/>
      <c r="F14" s="617"/>
      <c r="G14" s="619"/>
      <c r="H14" s="634"/>
    </row>
    <row r="15" spans="1:15" ht="45" hidden="1" customHeight="1">
      <c r="A15" s="379"/>
      <c r="B15" s="385">
        <f>B13</f>
        <v>104403.57</v>
      </c>
      <c r="C15" s="206">
        <f t="shared" ref="C15:C20" si="0">D15*B15*12/1000</f>
        <v>0</v>
      </c>
      <c r="D15" s="381"/>
      <c r="E15" s="206">
        <f>D15*12</f>
        <v>0</v>
      </c>
      <c r="F15" s="412"/>
      <c r="G15" s="417"/>
      <c r="H15" s="398"/>
    </row>
    <row r="16" spans="1:15" ht="31.5" customHeight="1">
      <c r="A16" s="379" t="s">
        <v>444</v>
      </c>
      <c r="B16" s="211">
        <f>B15</f>
        <v>104403.57</v>
      </c>
      <c r="C16" s="206">
        <f t="shared" si="0"/>
        <v>11.756677210560001</v>
      </c>
      <c r="D16" s="381">
        <v>9.384E-3</v>
      </c>
      <c r="E16" s="206">
        <f t="shared" ref="E16:E22" si="1">D16*12</f>
        <v>0.112608</v>
      </c>
      <c r="F16" s="412" t="s">
        <v>545</v>
      </c>
      <c r="G16" s="417" t="s">
        <v>276</v>
      </c>
      <c r="H16" s="398"/>
    </row>
    <row r="17" spans="1:15" ht="24" customHeight="1">
      <c r="A17" s="379" t="s">
        <v>494</v>
      </c>
      <c r="B17" s="211">
        <f>B16</f>
        <v>104403.57</v>
      </c>
      <c r="C17" s="206">
        <f t="shared" si="0"/>
        <v>6.514782767999999</v>
      </c>
      <c r="D17" s="381">
        <v>5.1999999999999998E-3</v>
      </c>
      <c r="E17" s="206">
        <f t="shared" si="1"/>
        <v>6.2399999999999997E-2</v>
      </c>
      <c r="F17" s="412" t="s">
        <v>545</v>
      </c>
      <c r="G17" s="417" t="s">
        <v>276</v>
      </c>
      <c r="H17" s="398"/>
    </row>
    <row r="18" spans="1:15" ht="15">
      <c r="A18" s="379" t="s">
        <v>495</v>
      </c>
      <c r="B18" s="211">
        <f>B17</f>
        <v>104403.57</v>
      </c>
      <c r="C18" s="206">
        <f t="shared" si="0"/>
        <v>7.0159199040000004</v>
      </c>
      <c r="D18" s="381">
        <v>5.5999999999999999E-3</v>
      </c>
      <c r="E18" s="206">
        <f t="shared" si="1"/>
        <v>6.7199999999999996E-2</v>
      </c>
      <c r="F18" s="412" t="s">
        <v>545</v>
      </c>
      <c r="G18" s="417" t="s">
        <v>276</v>
      </c>
      <c r="H18" s="398"/>
    </row>
    <row r="19" spans="1:15" ht="15" hidden="1">
      <c r="A19" s="379" t="s">
        <v>496</v>
      </c>
      <c r="B19" s="211">
        <f>B18</f>
        <v>104403.57</v>
      </c>
      <c r="C19" s="206">
        <f t="shared" si="0"/>
        <v>0</v>
      </c>
      <c r="D19" s="381"/>
      <c r="E19" s="206">
        <f t="shared" si="1"/>
        <v>0</v>
      </c>
      <c r="F19" s="412"/>
      <c r="G19" s="417"/>
      <c r="H19" s="398"/>
    </row>
    <row r="20" spans="1:15" ht="45">
      <c r="A20" s="379" t="s">
        <v>497</v>
      </c>
      <c r="B20" s="211">
        <f>B19</f>
        <v>104403.57</v>
      </c>
      <c r="C20" s="206">
        <f t="shared" si="0"/>
        <v>12.653712684000002</v>
      </c>
      <c r="D20" s="381">
        <v>1.01E-2</v>
      </c>
      <c r="E20" s="206">
        <f t="shared" si="1"/>
        <v>0.1212</v>
      </c>
      <c r="F20" s="412" t="s">
        <v>545</v>
      </c>
      <c r="G20" s="417" t="s">
        <v>276</v>
      </c>
      <c r="H20" s="398"/>
      <c r="I20" s="201">
        <f>SUM(C13:C20)</f>
        <v>275.98123216656006</v>
      </c>
    </row>
    <row r="21" spans="1:15" ht="14.25">
      <c r="A21" s="613" t="s">
        <v>498</v>
      </c>
      <c r="B21" s="613"/>
      <c r="C21" s="613"/>
      <c r="D21" s="613"/>
      <c r="E21" s="613"/>
      <c r="F21" s="613"/>
      <c r="G21" s="613"/>
      <c r="H21" s="398"/>
      <c r="O21" s="410"/>
    </row>
    <row r="22" spans="1:15" ht="30">
      <c r="A22" s="379" t="s">
        <v>348</v>
      </c>
      <c r="B22" s="211">
        <f>B20</f>
        <v>104403.57</v>
      </c>
      <c r="C22" s="206">
        <f>D22*B22*12/1000</f>
        <v>224.321510502</v>
      </c>
      <c r="D22" s="381">
        <v>0.17904999999999999</v>
      </c>
      <c r="E22" s="206">
        <f t="shared" si="1"/>
        <v>2.1486000000000001</v>
      </c>
      <c r="F22" s="412" t="s">
        <v>545</v>
      </c>
      <c r="G22" s="417" t="s">
        <v>276</v>
      </c>
      <c r="H22" s="398"/>
    </row>
    <row r="23" spans="1:15" ht="16.5" hidden="1" customHeight="1">
      <c r="A23" s="379" t="s">
        <v>500</v>
      </c>
      <c r="B23" s="619">
        <f>B22</f>
        <v>104403.57</v>
      </c>
      <c r="C23" s="620">
        <f>D23*B23*12/1000</f>
        <v>0</v>
      </c>
      <c r="D23" s="615"/>
      <c r="E23" s="616">
        <f>D23*12</f>
        <v>0</v>
      </c>
      <c r="F23" s="414"/>
      <c r="G23" s="619"/>
      <c r="H23" s="634"/>
    </row>
    <row r="24" spans="1:15" ht="13.5" hidden="1" customHeight="1">
      <c r="A24" s="379" t="s">
        <v>501</v>
      </c>
      <c r="B24" s="619"/>
      <c r="C24" s="620"/>
      <c r="D24" s="615"/>
      <c r="E24" s="617"/>
      <c r="F24" s="415"/>
      <c r="G24" s="619"/>
      <c r="H24" s="634"/>
    </row>
    <row r="25" spans="1:15" ht="45" hidden="1" customHeight="1">
      <c r="A25" s="379" t="s">
        <v>502</v>
      </c>
      <c r="B25" s="211">
        <f>B22</f>
        <v>104403.57</v>
      </c>
      <c r="C25" s="206">
        <f>D25*B25*12/1000</f>
        <v>0</v>
      </c>
      <c r="D25" s="381"/>
      <c r="E25" s="206">
        <f t="shared" ref="E25:E76" si="2">D25*12</f>
        <v>0</v>
      </c>
      <c r="F25" s="412"/>
      <c r="G25" s="417"/>
      <c r="H25" s="398"/>
    </row>
    <row r="26" spans="1:15" ht="45" hidden="1" customHeight="1">
      <c r="A26" s="379" t="s">
        <v>503</v>
      </c>
      <c r="B26" s="211">
        <f>B25</f>
        <v>104403.57</v>
      </c>
      <c r="C26" s="206">
        <f>D26*B26*12/1000</f>
        <v>0</v>
      </c>
      <c r="D26" s="381"/>
      <c r="E26" s="206">
        <f t="shared" si="2"/>
        <v>0</v>
      </c>
      <c r="F26" s="412"/>
      <c r="G26" s="417"/>
      <c r="H26" s="398"/>
    </row>
    <row r="27" spans="1:15" ht="45">
      <c r="A27" s="379" t="s">
        <v>446</v>
      </c>
      <c r="B27" s="211">
        <f>B26</f>
        <v>104403.57</v>
      </c>
      <c r="C27" s="206">
        <f>D27*B27*12/1000</f>
        <v>13.14044212734</v>
      </c>
      <c r="D27" s="381">
        <v>1.04885E-2</v>
      </c>
      <c r="E27" s="206">
        <f t="shared" si="2"/>
        <v>0.125862</v>
      </c>
      <c r="F27" s="412" t="s">
        <v>545</v>
      </c>
      <c r="G27" s="417" t="s">
        <v>276</v>
      </c>
      <c r="H27" s="398"/>
    </row>
    <row r="28" spans="1:15" ht="45">
      <c r="A28" s="379" t="s">
        <v>349</v>
      </c>
      <c r="B28" s="211">
        <f>B27</f>
        <v>104403.57</v>
      </c>
      <c r="C28" s="206">
        <f>D28*B28*12/1000</f>
        <v>715.12269307200006</v>
      </c>
      <c r="D28" s="381">
        <f>0.5708</f>
        <v>0.57079999999999997</v>
      </c>
      <c r="E28" s="206">
        <f t="shared" si="2"/>
        <v>6.8495999999999997</v>
      </c>
      <c r="F28" s="412" t="s">
        <v>545</v>
      </c>
      <c r="G28" s="417" t="s">
        <v>276</v>
      </c>
      <c r="H28" s="398"/>
      <c r="I28" s="201">
        <f>SUM(C22:C28)</f>
        <v>952.58464570134004</v>
      </c>
    </row>
    <row r="29" spans="1:15" ht="14.25">
      <c r="A29" s="613" t="s">
        <v>508</v>
      </c>
      <c r="B29" s="613"/>
      <c r="C29" s="613"/>
      <c r="D29" s="613"/>
      <c r="E29" s="613"/>
      <c r="F29" s="613"/>
      <c r="G29" s="613"/>
      <c r="H29" s="398"/>
      <c r="O29" s="410"/>
    </row>
    <row r="30" spans="1:15" ht="31.5" hidden="1" customHeight="1">
      <c r="A30" s="379" t="s">
        <v>509</v>
      </c>
      <c r="B30" s="211">
        <f>B28</f>
        <v>104403.57</v>
      </c>
      <c r="C30" s="206">
        <f>D30*B30*12/1000</f>
        <v>0</v>
      </c>
      <c r="D30" s="381"/>
      <c r="E30" s="206">
        <f t="shared" si="2"/>
        <v>0</v>
      </c>
      <c r="F30" s="412"/>
      <c r="G30" s="211"/>
      <c r="H30" s="398"/>
    </row>
    <row r="31" spans="1:15" ht="36.75" customHeight="1">
      <c r="A31" s="379" t="s">
        <v>350</v>
      </c>
      <c r="B31" s="211">
        <f>B28</f>
        <v>104403.57</v>
      </c>
      <c r="C31" s="206">
        <f t="shared" ref="C31:C42" si="3">D31*B31*12/1000</f>
        <v>23.639891547960005</v>
      </c>
      <c r="D31" s="381">
        <f>0.018869</f>
        <v>1.8869E-2</v>
      </c>
      <c r="E31" s="206">
        <f t="shared" si="2"/>
        <v>0.22642800000000002</v>
      </c>
      <c r="F31" s="412" t="s">
        <v>545</v>
      </c>
      <c r="G31" s="417" t="s">
        <v>276</v>
      </c>
      <c r="H31" s="398"/>
    </row>
    <row r="32" spans="1:15" ht="30" hidden="1" customHeight="1">
      <c r="A32" s="379" t="s">
        <v>511</v>
      </c>
      <c r="B32" s="211">
        <f t="shared" ref="B32:B38" si="4">B31</f>
        <v>104403.57</v>
      </c>
      <c r="C32" s="206">
        <f t="shared" si="3"/>
        <v>0</v>
      </c>
      <c r="D32" s="381"/>
      <c r="E32" s="206">
        <f t="shared" si="2"/>
        <v>0</v>
      </c>
      <c r="F32" s="412"/>
      <c r="G32" s="211"/>
      <c r="H32" s="398"/>
    </row>
    <row r="33" spans="1:9" ht="30" customHeight="1">
      <c r="A33" s="379" t="s">
        <v>512</v>
      </c>
      <c r="B33" s="211">
        <f t="shared" si="4"/>
        <v>104403.57</v>
      </c>
      <c r="C33" s="206">
        <f t="shared" si="3"/>
        <v>138.52933850447999</v>
      </c>
      <c r="D33" s="381">
        <f>0.077*1.436</f>
        <v>0.11057199999999999</v>
      </c>
      <c r="E33" s="206">
        <f t="shared" si="2"/>
        <v>1.3268639999999998</v>
      </c>
      <c r="F33" s="412" t="s">
        <v>545</v>
      </c>
      <c r="G33" s="417" t="s">
        <v>276</v>
      </c>
      <c r="H33" s="398"/>
    </row>
    <row r="34" spans="1:9" ht="59.25" customHeight="1">
      <c r="A34" s="379" t="s">
        <v>513</v>
      </c>
      <c r="B34" s="211">
        <f t="shared" si="4"/>
        <v>104403.57</v>
      </c>
      <c r="C34" s="206">
        <f>D34*B34*12/1000</f>
        <v>66.56604577488001</v>
      </c>
      <c r="D34" s="381">
        <f>0.037*1.436</f>
        <v>5.3131999999999999E-2</v>
      </c>
      <c r="E34" s="206">
        <f t="shared" si="2"/>
        <v>0.63758399999999993</v>
      </c>
      <c r="F34" s="412" t="s">
        <v>545</v>
      </c>
      <c r="G34" s="417" t="s">
        <v>276</v>
      </c>
      <c r="H34" s="398"/>
    </row>
    <row r="35" spans="1:9" ht="91.5" hidden="1" customHeight="1">
      <c r="A35" s="379" t="s">
        <v>514</v>
      </c>
      <c r="B35" s="211">
        <f t="shared" si="4"/>
        <v>104403.57</v>
      </c>
      <c r="C35" s="206">
        <f t="shared" si="3"/>
        <v>0</v>
      </c>
      <c r="D35" s="381"/>
      <c r="E35" s="206">
        <f t="shared" si="2"/>
        <v>0</v>
      </c>
      <c r="F35" s="412"/>
      <c r="G35" s="211"/>
      <c r="H35" s="398"/>
    </row>
    <row r="36" spans="1:9" ht="45.75" hidden="1" customHeight="1">
      <c r="A36" s="379" t="s">
        <v>515</v>
      </c>
      <c r="B36" s="211">
        <f t="shared" si="4"/>
        <v>104403.57</v>
      </c>
      <c r="C36" s="206">
        <f t="shared" si="3"/>
        <v>0</v>
      </c>
      <c r="D36" s="381"/>
      <c r="E36" s="206">
        <f t="shared" si="2"/>
        <v>0</v>
      </c>
      <c r="F36" s="412"/>
      <c r="G36" s="211"/>
      <c r="H36" s="398"/>
    </row>
    <row r="37" spans="1:9" ht="62.25" customHeight="1">
      <c r="A37" s="379" t="s">
        <v>351</v>
      </c>
      <c r="B37" s="211">
        <f t="shared" si="4"/>
        <v>104403.57</v>
      </c>
      <c r="C37" s="206">
        <f>D37*B37*12/1000</f>
        <v>13.14044212734</v>
      </c>
      <c r="D37" s="381">
        <f>0.0104885</f>
        <v>1.04885E-2</v>
      </c>
      <c r="E37" s="206">
        <f t="shared" si="2"/>
        <v>0.125862</v>
      </c>
      <c r="F37" s="412" t="s">
        <v>545</v>
      </c>
      <c r="G37" s="417" t="s">
        <v>276</v>
      </c>
      <c r="H37" s="398"/>
    </row>
    <row r="38" spans="1:9" ht="28.5" customHeight="1">
      <c r="A38" s="379" t="s">
        <v>507</v>
      </c>
      <c r="B38" s="211">
        <f t="shared" si="4"/>
        <v>104403.57</v>
      </c>
      <c r="C38" s="206">
        <f t="shared" si="3"/>
        <v>431.77975637759999</v>
      </c>
      <c r="D38" s="381">
        <f>0.24*1.436</f>
        <v>0.34463999999999995</v>
      </c>
      <c r="E38" s="206">
        <f t="shared" si="2"/>
        <v>4.1356799999999989</v>
      </c>
      <c r="F38" s="412" t="s">
        <v>545</v>
      </c>
      <c r="G38" s="417" t="s">
        <v>276</v>
      </c>
      <c r="H38" s="398"/>
      <c r="I38" s="201">
        <f>SUM(C31:C38)</f>
        <v>673.65547433226004</v>
      </c>
    </row>
    <row r="39" spans="1:9" ht="14.25">
      <c r="A39" s="613" t="s">
        <v>518</v>
      </c>
      <c r="B39" s="613"/>
      <c r="C39" s="613"/>
      <c r="D39" s="613"/>
      <c r="E39" s="613"/>
      <c r="F39" s="613"/>
      <c r="G39" s="613"/>
      <c r="H39" s="398"/>
    </row>
    <row r="40" spans="1:9" ht="43.5" customHeight="1">
      <c r="A40" s="379" t="s">
        <v>38</v>
      </c>
      <c r="B40" s="211">
        <f>B38</f>
        <v>104403.57</v>
      </c>
      <c r="C40" s="206">
        <f t="shared" si="3"/>
        <v>7.1963292729599999</v>
      </c>
      <c r="D40" s="381">
        <f>0.004*1.436</f>
        <v>5.744E-3</v>
      </c>
      <c r="E40" s="206">
        <f t="shared" si="2"/>
        <v>6.8928000000000003E-2</v>
      </c>
      <c r="F40" s="412" t="s">
        <v>545</v>
      </c>
      <c r="G40" s="417" t="s">
        <v>276</v>
      </c>
      <c r="H40" s="398"/>
    </row>
    <row r="41" spans="1:9" ht="31.5" customHeight="1">
      <c r="A41" s="379" t="s">
        <v>352</v>
      </c>
      <c r="B41" s="211">
        <f>B40</f>
        <v>104403.57</v>
      </c>
      <c r="C41" s="206">
        <f t="shared" si="3"/>
        <v>39.57981100128</v>
      </c>
      <c r="D41" s="381">
        <f>0.022*1.436</f>
        <v>3.1591999999999995E-2</v>
      </c>
      <c r="E41" s="206">
        <f t="shared" si="2"/>
        <v>0.37910399999999994</v>
      </c>
      <c r="F41" s="412" t="s">
        <v>545</v>
      </c>
      <c r="G41" s="417" t="s">
        <v>276</v>
      </c>
      <c r="H41" s="398"/>
      <c r="I41" s="201">
        <f>SUM(C40:C41)</f>
        <v>46.776140274239999</v>
      </c>
    </row>
    <row r="42" spans="1:9" ht="60">
      <c r="A42" s="379" t="s">
        <v>523</v>
      </c>
      <c r="B42" s="211">
        <f>B41</f>
        <v>104403.57</v>
      </c>
      <c r="C42" s="206">
        <f t="shared" si="3"/>
        <v>0</v>
      </c>
      <c r="D42" s="381"/>
      <c r="E42" s="206">
        <f t="shared" si="2"/>
        <v>0</v>
      </c>
      <c r="F42" s="412" t="s">
        <v>545</v>
      </c>
      <c r="G42" s="417" t="s">
        <v>276</v>
      </c>
      <c r="H42" s="398"/>
    </row>
    <row r="43" spans="1:9" ht="14.25">
      <c r="A43" s="613" t="s">
        <v>524</v>
      </c>
      <c r="B43" s="613"/>
      <c r="C43" s="613"/>
      <c r="D43" s="613"/>
      <c r="E43" s="613"/>
      <c r="F43" s="613"/>
      <c r="G43" s="613"/>
      <c r="H43" s="398"/>
    </row>
    <row r="44" spans="1:9" ht="44.25" customHeight="1">
      <c r="A44" s="379" t="s">
        <v>321</v>
      </c>
      <c r="B44" s="211">
        <f>B42</f>
        <v>104403.57</v>
      </c>
      <c r="C44" s="206">
        <f>D44*B44*12/1000</f>
        <v>105.99050426399999</v>
      </c>
      <c r="D44" s="381">
        <v>8.4599999999999995E-2</v>
      </c>
      <c r="E44" s="206">
        <f t="shared" si="2"/>
        <v>1.0151999999999999</v>
      </c>
      <c r="F44" s="412" t="s">
        <v>545</v>
      </c>
      <c r="G44" s="417" t="s">
        <v>276</v>
      </c>
      <c r="H44" s="398"/>
    </row>
    <row r="45" spans="1:9" ht="30.75" hidden="1" customHeight="1">
      <c r="A45" s="379" t="s">
        <v>526</v>
      </c>
      <c r="B45" s="211">
        <f>B44</f>
        <v>104403.57</v>
      </c>
      <c r="C45" s="206">
        <f>D45*B45*12/1000</f>
        <v>0</v>
      </c>
      <c r="D45" s="381"/>
      <c r="E45" s="206">
        <f t="shared" si="2"/>
        <v>0</v>
      </c>
      <c r="F45" s="412"/>
      <c r="G45" s="417"/>
      <c r="H45" s="398"/>
    </row>
    <row r="46" spans="1:9" ht="18" customHeight="1">
      <c r="A46" s="379" t="s">
        <v>527</v>
      </c>
      <c r="B46" s="211">
        <f>B45</f>
        <v>104403.57</v>
      </c>
      <c r="C46" s="206">
        <f>D46*B46*12/1000</f>
        <v>37.785489485832002</v>
      </c>
      <c r="D46" s="381">
        <v>3.01598E-2</v>
      </c>
      <c r="E46" s="206">
        <f t="shared" si="2"/>
        <v>0.36191760000000001</v>
      </c>
      <c r="F46" s="412" t="s">
        <v>545</v>
      </c>
      <c r="G46" s="417" t="s">
        <v>276</v>
      </c>
      <c r="H46" s="398"/>
    </row>
    <row r="47" spans="1:9" ht="18" customHeight="1">
      <c r="A47" s="379" t="s">
        <v>528</v>
      </c>
      <c r="B47" s="211">
        <f>B46</f>
        <v>104403.57</v>
      </c>
      <c r="C47" s="206">
        <f>D47*B47*12/1000</f>
        <v>71.963292729599999</v>
      </c>
      <c r="D47" s="381">
        <f>0.04*1.436</f>
        <v>5.7439999999999998E-2</v>
      </c>
      <c r="E47" s="206">
        <f t="shared" si="2"/>
        <v>0.68928</v>
      </c>
      <c r="F47" s="412" t="s">
        <v>545</v>
      </c>
      <c r="G47" s="417" t="s">
        <v>276</v>
      </c>
      <c r="H47" s="398"/>
      <c r="I47" s="201">
        <f>SUM(C44:C47)</f>
        <v>215.739286479432</v>
      </c>
    </row>
    <row r="48" spans="1:9" ht="14.25">
      <c r="A48" s="613" t="s">
        <v>531</v>
      </c>
      <c r="B48" s="613"/>
      <c r="C48" s="613"/>
      <c r="D48" s="613"/>
      <c r="E48" s="613"/>
      <c r="F48" s="613"/>
      <c r="G48" s="613"/>
      <c r="H48" s="398"/>
    </row>
    <row r="49" spans="1:15" ht="18.75" customHeight="1">
      <c r="A49" s="379" t="s">
        <v>322</v>
      </c>
      <c r="B49" s="211">
        <f>B47</f>
        <v>104403.57</v>
      </c>
      <c r="C49" s="206">
        <f t="shared" ref="C49:C68" si="5">D49*B49*12/1000</f>
        <v>198.70087442400003</v>
      </c>
      <c r="D49" s="381">
        <v>0.15859999999999999</v>
      </c>
      <c r="E49" s="206">
        <f t="shared" si="2"/>
        <v>1.9032</v>
      </c>
      <c r="F49" s="412" t="s">
        <v>545</v>
      </c>
      <c r="G49" s="417" t="s">
        <v>276</v>
      </c>
      <c r="H49" s="398"/>
    </row>
    <row r="50" spans="1:15" ht="45.75" customHeight="1">
      <c r="A50" s="379" t="s">
        <v>323</v>
      </c>
      <c r="B50" s="211">
        <f t="shared" ref="B50:B61" si="6">B49</f>
        <v>104403.57</v>
      </c>
      <c r="C50" s="206">
        <f t="shared" si="5"/>
        <v>19.78990550064</v>
      </c>
      <c r="D50" s="381">
        <f>0.011*1.436</f>
        <v>1.5795999999999998E-2</v>
      </c>
      <c r="E50" s="206">
        <f t="shared" si="2"/>
        <v>0.18955199999999997</v>
      </c>
      <c r="F50" s="412" t="s">
        <v>545</v>
      </c>
      <c r="G50" s="417" t="s">
        <v>276</v>
      </c>
      <c r="H50" s="398"/>
    </row>
    <row r="51" spans="1:15" ht="18" hidden="1" customHeight="1">
      <c r="A51" s="379" t="s">
        <v>534</v>
      </c>
      <c r="B51" s="211">
        <f t="shared" si="6"/>
        <v>104403.57</v>
      </c>
      <c r="C51" s="206">
        <f t="shared" si="5"/>
        <v>0</v>
      </c>
      <c r="D51" s="381"/>
      <c r="E51" s="206">
        <f t="shared" si="2"/>
        <v>0</v>
      </c>
      <c r="F51" s="412"/>
      <c r="G51" s="417"/>
      <c r="H51" s="398"/>
    </row>
    <row r="52" spans="1:15" ht="30" hidden="1" customHeight="1">
      <c r="A52" s="379" t="s">
        <v>535</v>
      </c>
      <c r="B52" s="211">
        <f t="shared" si="6"/>
        <v>104403.57</v>
      </c>
      <c r="C52" s="206">
        <f t="shared" si="5"/>
        <v>0</v>
      </c>
      <c r="D52" s="381"/>
      <c r="E52" s="206">
        <f t="shared" si="2"/>
        <v>0</v>
      </c>
      <c r="F52" s="412"/>
      <c r="G52" s="417"/>
      <c r="H52" s="398"/>
    </row>
    <row r="53" spans="1:15" ht="59.25" hidden="1" customHeight="1">
      <c r="A53" s="379" t="s">
        <v>536</v>
      </c>
      <c r="B53" s="211">
        <f t="shared" si="6"/>
        <v>104403.57</v>
      </c>
      <c r="C53" s="206">
        <f t="shared" si="5"/>
        <v>0</v>
      </c>
      <c r="D53" s="381"/>
      <c r="E53" s="206">
        <f t="shared" si="2"/>
        <v>0</v>
      </c>
      <c r="F53" s="412"/>
      <c r="G53" s="417"/>
      <c r="H53" s="398"/>
    </row>
    <row r="54" spans="1:15" ht="30" customHeight="1">
      <c r="A54" s="379" t="s">
        <v>324</v>
      </c>
      <c r="B54" s="211">
        <f t="shared" si="6"/>
        <v>104403.57</v>
      </c>
      <c r="C54" s="206">
        <f>D54*B54*12/1000-0.001</f>
        <v>20.044485440000003</v>
      </c>
      <c r="D54" s="381">
        <v>1.6E-2</v>
      </c>
      <c r="E54" s="206">
        <f t="shared" si="2"/>
        <v>0.192</v>
      </c>
      <c r="F54" s="412" t="s">
        <v>545</v>
      </c>
      <c r="G54" s="417" t="s">
        <v>276</v>
      </c>
      <c r="H54" s="398"/>
    </row>
    <row r="55" spans="1:15" ht="30.75" customHeight="1">
      <c r="A55" s="379" t="s">
        <v>538</v>
      </c>
      <c r="B55" s="211">
        <f t="shared" si="6"/>
        <v>104403.57</v>
      </c>
      <c r="C55" s="206">
        <f t="shared" si="5"/>
        <v>80.239071393503991</v>
      </c>
      <c r="D55" s="381">
        <f>0.0446*1.436</f>
        <v>6.4045599999999994E-2</v>
      </c>
      <c r="E55" s="206">
        <f t="shared" si="2"/>
        <v>0.76854719999999999</v>
      </c>
      <c r="F55" s="412" t="s">
        <v>545</v>
      </c>
      <c r="G55" s="417" t="s">
        <v>276</v>
      </c>
      <c r="H55" s="398"/>
    </row>
    <row r="56" spans="1:15" ht="29.25" hidden="1" customHeight="1">
      <c r="A56" s="379" t="s">
        <v>539</v>
      </c>
      <c r="B56" s="211">
        <f t="shared" si="6"/>
        <v>104403.57</v>
      </c>
      <c r="C56" s="206">
        <f t="shared" si="5"/>
        <v>0</v>
      </c>
      <c r="D56" s="381"/>
      <c r="E56" s="206">
        <f t="shared" si="2"/>
        <v>0</v>
      </c>
      <c r="F56" s="412"/>
      <c r="G56" s="417"/>
      <c r="H56" s="398"/>
    </row>
    <row r="57" spans="1:15" ht="30.75" customHeight="1">
      <c r="A57" s="379" t="s">
        <v>450</v>
      </c>
      <c r="B57" s="211">
        <f t="shared" si="6"/>
        <v>104403.57</v>
      </c>
      <c r="C57" s="206">
        <f t="shared" si="5"/>
        <v>24.430435380000002</v>
      </c>
      <c r="D57" s="381">
        <v>1.95E-2</v>
      </c>
      <c r="E57" s="206">
        <f t="shared" si="2"/>
        <v>0.23399999999999999</v>
      </c>
      <c r="F57" s="412" t="s">
        <v>545</v>
      </c>
      <c r="G57" s="417" t="s">
        <v>276</v>
      </c>
      <c r="H57" s="398"/>
    </row>
    <row r="58" spans="1:15" ht="45.75" hidden="1" customHeight="1">
      <c r="A58" s="379" t="s">
        <v>1</v>
      </c>
      <c r="B58" s="211">
        <f t="shared" si="6"/>
        <v>104403.57</v>
      </c>
      <c r="C58" s="206">
        <f t="shared" si="5"/>
        <v>0</v>
      </c>
      <c r="D58" s="381"/>
      <c r="E58" s="206">
        <f t="shared" si="2"/>
        <v>0</v>
      </c>
      <c r="F58" s="412"/>
      <c r="G58" s="417"/>
      <c r="H58" s="398"/>
    </row>
    <row r="59" spans="1:15" ht="31.5" hidden="1" customHeight="1">
      <c r="A59" s="379" t="s">
        <v>2</v>
      </c>
      <c r="B59" s="211">
        <f t="shared" si="6"/>
        <v>104403.57</v>
      </c>
      <c r="C59" s="206">
        <f t="shared" si="5"/>
        <v>0</v>
      </c>
      <c r="D59" s="381"/>
      <c r="E59" s="206">
        <f t="shared" si="2"/>
        <v>0</v>
      </c>
      <c r="F59" s="412"/>
      <c r="G59" s="417"/>
      <c r="H59" s="398"/>
    </row>
    <row r="60" spans="1:15" ht="21.75" customHeight="1">
      <c r="A60" s="379" t="s">
        <v>353</v>
      </c>
      <c r="B60" s="211">
        <f t="shared" si="6"/>
        <v>104403.57</v>
      </c>
      <c r="C60" s="206">
        <f t="shared" si="5"/>
        <v>30.130870301999995</v>
      </c>
      <c r="D60" s="381">
        <v>2.4049999999999998E-2</v>
      </c>
      <c r="E60" s="206">
        <f t="shared" si="2"/>
        <v>0.28859999999999997</v>
      </c>
      <c r="F60" s="412" t="s">
        <v>545</v>
      </c>
      <c r="G60" s="417" t="s">
        <v>276</v>
      </c>
      <c r="H60" s="398"/>
      <c r="I60" s="201">
        <f>C49+C50+C54+C55+C57+C60</f>
        <v>373.33564244014406</v>
      </c>
    </row>
    <row r="61" spans="1:15" ht="34.5" hidden="1" customHeight="1">
      <c r="A61" s="379" t="s">
        <v>4</v>
      </c>
      <c r="B61" s="211">
        <f t="shared" si="6"/>
        <v>104403.57</v>
      </c>
      <c r="C61" s="206">
        <f t="shared" si="5"/>
        <v>0</v>
      </c>
      <c r="D61" s="381"/>
      <c r="E61" s="206">
        <f t="shared" si="2"/>
        <v>0</v>
      </c>
      <c r="F61" s="412"/>
      <c r="G61" s="386"/>
      <c r="H61" s="398"/>
      <c r="I61" s="201">
        <f>SUM(C49:C61)</f>
        <v>373.33564244014406</v>
      </c>
    </row>
    <row r="62" spans="1:15" ht="18.75" customHeight="1">
      <c r="A62" s="613" t="s">
        <v>5</v>
      </c>
      <c r="B62" s="613"/>
      <c r="C62" s="613"/>
      <c r="D62" s="613"/>
      <c r="E62" s="613"/>
      <c r="F62" s="613"/>
      <c r="G62" s="613"/>
      <c r="H62" s="398"/>
      <c r="O62" s="410"/>
    </row>
    <row r="63" spans="1:15" ht="30" customHeight="1">
      <c r="A63" s="379" t="s">
        <v>354</v>
      </c>
      <c r="B63" s="211">
        <f>B61</f>
        <v>104403.57</v>
      </c>
      <c r="C63" s="206">
        <f t="shared" si="5"/>
        <v>420.82990995599994</v>
      </c>
      <c r="D63" s="381">
        <v>0.33589999999999998</v>
      </c>
      <c r="E63" s="206">
        <f t="shared" si="2"/>
        <v>4.0307999999999993</v>
      </c>
      <c r="F63" s="412" t="s">
        <v>545</v>
      </c>
      <c r="G63" s="417" t="s">
        <v>276</v>
      </c>
      <c r="H63" s="398"/>
    </row>
    <row r="64" spans="1:15" ht="30.75" hidden="1" customHeight="1">
      <c r="A64" s="379" t="s">
        <v>7</v>
      </c>
      <c r="B64" s="211">
        <f>B63</f>
        <v>104403.57</v>
      </c>
      <c r="C64" s="206">
        <f t="shared" si="5"/>
        <v>0</v>
      </c>
      <c r="D64" s="381"/>
      <c r="E64" s="206">
        <f t="shared" si="2"/>
        <v>0</v>
      </c>
      <c r="F64" s="412"/>
      <c r="G64" s="211"/>
      <c r="H64" s="398"/>
    </row>
    <row r="65" spans="1:15" ht="30.75" hidden="1" customHeight="1">
      <c r="A65" s="379" t="s">
        <v>8</v>
      </c>
      <c r="B65" s="211">
        <f>B64</f>
        <v>104403.57</v>
      </c>
      <c r="C65" s="206">
        <f t="shared" si="5"/>
        <v>0</v>
      </c>
      <c r="D65" s="211"/>
      <c r="E65" s="206">
        <f t="shared" si="2"/>
        <v>0</v>
      </c>
      <c r="F65" s="412"/>
      <c r="G65" s="211"/>
      <c r="H65" s="398"/>
    </row>
    <row r="66" spans="1:15" ht="30.75" customHeight="1">
      <c r="A66" s="379" t="s">
        <v>35</v>
      </c>
      <c r="B66" s="211">
        <f>B65</f>
        <v>104403.57</v>
      </c>
      <c r="C66" s="206">
        <f t="shared" si="5"/>
        <v>197.89905500639998</v>
      </c>
      <c r="D66" s="381">
        <f>0.11*1.436</f>
        <v>0.15795999999999999</v>
      </c>
      <c r="E66" s="206">
        <f t="shared" si="2"/>
        <v>1.8955199999999999</v>
      </c>
      <c r="F66" s="412" t="s">
        <v>545</v>
      </c>
      <c r="G66" s="417" t="s">
        <v>276</v>
      </c>
      <c r="H66" s="398"/>
    </row>
    <row r="67" spans="1:15" ht="32.25" customHeight="1">
      <c r="A67" s="379" t="s">
        <v>355</v>
      </c>
      <c r="B67" s="211">
        <f>B66</f>
        <v>104403.57</v>
      </c>
      <c r="C67" s="206">
        <f t="shared" si="5"/>
        <v>45.227626524000009</v>
      </c>
      <c r="D67" s="381">
        <v>3.61E-2</v>
      </c>
      <c r="E67" s="206">
        <f t="shared" si="2"/>
        <v>0.43320000000000003</v>
      </c>
      <c r="F67" s="412" t="s">
        <v>545</v>
      </c>
      <c r="G67" s="417" t="s">
        <v>276</v>
      </c>
      <c r="H67" s="398"/>
      <c r="I67" s="201">
        <f>SUM(C63:C67)</f>
        <v>663.95659148639993</v>
      </c>
    </row>
    <row r="68" spans="1:15" ht="29.25" hidden="1" customHeight="1">
      <c r="A68" s="379" t="s">
        <v>11</v>
      </c>
      <c r="B68" s="211">
        <f>B67</f>
        <v>104403.57</v>
      </c>
      <c r="C68" s="206">
        <f t="shared" si="5"/>
        <v>0</v>
      </c>
      <c r="D68" s="211"/>
      <c r="E68" s="206">
        <f t="shared" si="2"/>
        <v>0</v>
      </c>
      <c r="F68" s="412"/>
      <c r="G68" s="211"/>
      <c r="H68" s="398"/>
    </row>
    <row r="69" spans="1:15" ht="14.25">
      <c r="A69" s="613" t="s">
        <v>12</v>
      </c>
      <c r="B69" s="613"/>
      <c r="C69" s="613"/>
      <c r="D69" s="613"/>
      <c r="E69" s="613"/>
      <c r="F69" s="613"/>
      <c r="G69" s="613"/>
      <c r="H69" s="398"/>
      <c r="O69" s="410"/>
    </row>
    <row r="70" spans="1:15" ht="30.75" hidden="1" customHeight="1">
      <c r="A70" s="379" t="s">
        <v>13</v>
      </c>
      <c r="B70" s="211">
        <f>B68</f>
        <v>104403.57</v>
      </c>
      <c r="C70" s="206">
        <f>D70*B70*12/1000</f>
        <v>0</v>
      </c>
      <c r="D70" s="381"/>
      <c r="E70" s="206">
        <f t="shared" si="2"/>
        <v>0</v>
      </c>
      <c r="F70" s="412"/>
      <c r="G70" s="386"/>
      <c r="H70" s="398"/>
    </row>
    <row r="71" spans="1:15" ht="18" customHeight="1">
      <c r="A71" s="379" t="s">
        <v>14</v>
      </c>
      <c r="B71" s="211">
        <f>B70</f>
        <v>104403.57</v>
      </c>
      <c r="C71" s="206">
        <f>D71*B71*12/1000</f>
        <v>15.03411408</v>
      </c>
      <c r="D71" s="381">
        <v>1.2E-2</v>
      </c>
      <c r="E71" s="206">
        <f t="shared" si="2"/>
        <v>0.14400000000000002</v>
      </c>
      <c r="F71" s="412" t="s">
        <v>545</v>
      </c>
      <c r="G71" s="417" t="s">
        <v>276</v>
      </c>
      <c r="H71" s="398"/>
    </row>
    <row r="72" spans="1:15" ht="33" customHeight="1">
      <c r="A72" s="379" t="s">
        <v>15</v>
      </c>
      <c r="B72" s="211">
        <f>B71</f>
        <v>104403.57</v>
      </c>
      <c r="C72" s="206">
        <f>D72*B72*12/1000</f>
        <v>30.584399410079996</v>
      </c>
      <c r="D72" s="381">
        <f>0.017*1.436</f>
        <v>2.4412E-2</v>
      </c>
      <c r="E72" s="206">
        <f t="shared" si="2"/>
        <v>0.29294399999999998</v>
      </c>
      <c r="F72" s="412" t="s">
        <v>545</v>
      </c>
      <c r="G72" s="386"/>
      <c r="H72" s="398"/>
      <c r="I72" s="201">
        <f>SUM(C71:C72)</f>
        <v>45.618513490079998</v>
      </c>
    </row>
    <row r="73" spans="1:15" ht="15" hidden="1">
      <c r="A73" s="379" t="s">
        <v>16</v>
      </c>
      <c r="B73" s="211">
        <f>B72</f>
        <v>104403.57</v>
      </c>
      <c r="C73" s="206">
        <f>D73*B73*12/1000</f>
        <v>0</v>
      </c>
      <c r="D73" s="381"/>
      <c r="E73" s="206">
        <f t="shared" si="2"/>
        <v>0</v>
      </c>
      <c r="F73" s="412"/>
      <c r="G73" s="386"/>
      <c r="H73" s="398"/>
    </row>
    <row r="74" spans="1:15" ht="14.25" hidden="1">
      <c r="A74" s="613" t="s">
        <v>17</v>
      </c>
      <c r="B74" s="613"/>
      <c r="C74" s="613"/>
      <c r="D74" s="613"/>
      <c r="E74" s="613"/>
      <c r="F74" s="613"/>
      <c r="G74" s="613"/>
      <c r="H74" s="398"/>
    </row>
    <row r="75" spans="1:15" ht="45" hidden="1">
      <c r="A75" s="379" t="s">
        <v>19</v>
      </c>
      <c r="B75" s="211">
        <f>B60</f>
        <v>104403.57</v>
      </c>
      <c r="C75" s="206">
        <f>D75*B75*12/1000</f>
        <v>0</v>
      </c>
      <c r="D75" s="211">
        <v>0</v>
      </c>
      <c r="E75" s="206">
        <f t="shared" si="2"/>
        <v>0</v>
      </c>
      <c r="F75" s="412"/>
      <c r="G75" s="386"/>
      <c r="H75" s="398"/>
    </row>
    <row r="76" spans="1:15" ht="15" hidden="1">
      <c r="A76" s="379" t="s">
        <v>41</v>
      </c>
      <c r="B76" s="211">
        <f>B60</f>
        <v>104403.57</v>
      </c>
      <c r="C76" s="206">
        <f>D76*B76*12/1000</f>
        <v>0</v>
      </c>
      <c r="D76" s="211">
        <v>0</v>
      </c>
      <c r="E76" s="206">
        <f t="shared" si="2"/>
        <v>0</v>
      </c>
      <c r="F76" s="412"/>
      <c r="G76" s="386"/>
      <c r="H76" s="398"/>
    </row>
    <row r="77" spans="1:15" ht="14.25">
      <c r="A77" s="613" t="s">
        <v>21</v>
      </c>
      <c r="B77" s="613"/>
      <c r="C77" s="613"/>
      <c r="D77" s="613"/>
      <c r="E77" s="613"/>
      <c r="F77" s="613"/>
      <c r="G77" s="613"/>
      <c r="H77" s="613"/>
      <c r="O77" s="410"/>
    </row>
    <row r="78" spans="1:15" ht="12.75" customHeight="1">
      <c r="A78" s="618" t="s">
        <v>22</v>
      </c>
      <c r="B78" s="619">
        <f>B73</f>
        <v>104403.57</v>
      </c>
      <c r="C78" s="616">
        <f>D78*B78*12/1000</f>
        <v>262.20330589165854</v>
      </c>
      <c r="D78" s="615">
        <f>0.484*0.489*1.141*0.775</f>
        <v>0.2092866699</v>
      </c>
      <c r="E78" s="616">
        <f>D78*12</f>
        <v>2.5114400388</v>
      </c>
      <c r="F78" s="616" t="s">
        <v>545</v>
      </c>
      <c r="G78" s="627" t="s">
        <v>276</v>
      </c>
      <c r="H78" s="416"/>
    </row>
    <row r="79" spans="1:15" ht="16.5" customHeight="1">
      <c r="A79" s="618"/>
      <c r="B79" s="619"/>
      <c r="C79" s="617"/>
      <c r="D79" s="615"/>
      <c r="E79" s="617"/>
      <c r="F79" s="617"/>
      <c r="G79" s="626"/>
      <c r="H79" s="416"/>
    </row>
    <row r="80" spans="1:15" ht="32.25" customHeight="1">
      <c r="A80" s="379" t="s">
        <v>23</v>
      </c>
      <c r="B80" s="211">
        <f>B78</f>
        <v>104403.57</v>
      </c>
      <c r="C80" s="206">
        <f>D80*B80*12/1000</f>
        <v>219.0779047232588</v>
      </c>
      <c r="D80" s="381">
        <f>0.2609*1.55*0.489*1.141*0.775</f>
        <v>0.17486463403762503</v>
      </c>
      <c r="E80" s="206">
        <f>D80*12</f>
        <v>2.0983756084515006</v>
      </c>
      <c r="F80" s="412" t="s">
        <v>545</v>
      </c>
      <c r="G80" s="417" t="s">
        <v>276</v>
      </c>
      <c r="H80" s="416"/>
      <c r="I80" s="201">
        <f>SUM(C78:C80)</f>
        <v>481.28121061491731</v>
      </c>
      <c r="M80" s="355">
        <f>I80+I82+I92+C94+C95+C96</f>
        <v>2008.4465509821571</v>
      </c>
    </row>
    <row r="81" spans="1:15" ht="14.25">
      <c r="A81" s="613" t="s">
        <v>45</v>
      </c>
      <c r="B81" s="613"/>
      <c r="C81" s="613"/>
      <c r="D81" s="613"/>
      <c r="E81" s="613"/>
      <c r="F81" s="613"/>
      <c r="G81" s="613"/>
      <c r="H81" s="398"/>
      <c r="O81" s="410"/>
    </row>
    <row r="82" spans="1:15" ht="33.75" customHeight="1">
      <c r="A82" s="379" t="s">
        <v>46</v>
      </c>
      <c r="B82" s="211">
        <f>B80</f>
        <v>104403.57</v>
      </c>
      <c r="C82" s="206">
        <f>D82*B82*12/1000-0.565</f>
        <v>50.801556440000006</v>
      </c>
      <c r="D82" s="381">
        <f>0.041</f>
        <v>4.1000000000000002E-2</v>
      </c>
      <c r="E82" s="206">
        <f>D82*12</f>
        <v>0.49199999999999999</v>
      </c>
      <c r="F82" s="412" t="s">
        <v>545</v>
      </c>
      <c r="G82" s="417" t="s">
        <v>276</v>
      </c>
      <c r="H82" s="398"/>
      <c r="I82" s="201">
        <f>SUM(C82:C82)</f>
        <v>50.801556440000006</v>
      </c>
    </row>
    <row r="83" spans="1:15" ht="14.25">
      <c r="A83" s="613" t="s">
        <v>49</v>
      </c>
      <c r="B83" s="613"/>
      <c r="C83" s="613"/>
      <c r="D83" s="613"/>
      <c r="E83" s="613"/>
      <c r="F83" s="613"/>
      <c r="G83" s="613"/>
      <c r="H83" s="398"/>
      <c r="O83" s="410"/>
    </row>
    <row r="84" spans="1:15" ht="49.5" customHeight="1">
      <c r="A84" s="379" t="s">
        <v>50</v>
      </c>
      <c r="B84" s="211">
        <f>B82</f>
        <v>104403.57</v>
      </c>
      <c r="C84" s="206">
        <f>D84*B84*12/1000</f>
        <v>48.931568681461208</v>
      </c>
      <c r="D84" s="381">
        <f>0.07*0.489*1.141</f>
        <v>3.9056430000000003E-2</v>
      </c>
      <c r="E84" s="206">
        <f t="shared" ref="E84:E92" si="7">D84*12</f>
        <v>0.46867716000000004</v>
      </c>
      <c r="F84" s="412" t="s">
        <v>545</v>
      </c>
      <c r="G84" s="417" t="s">
        <v>276</v>
      </c>
      <c r="H84" s="398"/>
    </row>
    <row r="85" spans="1:15" ht="49.5" customHeight="1">
      <c r="A85" s="379" t="s">
        <v>51</v>
      </c>
      <c r="B85" s="211">
        <f>B84</f>
        <v>104403.57</v>
      </c>
      <c r="C85" s="206">
        <f>D85*B85*12/1000</f>
        <v>34.951120486758008</v>
      </c>
      <c r="D85" s="381">
        <f>0.05*0.489*1.141</f>
        <v>2.7897450000000001E-2</v>
      </c>
      <c r="E85" s="206">
        <f t="shared" si="7"/>
        <v>0.33476939999999999</v>
      </c>
      <c r="F85" s="412" t="s">
        <v>545</v>
      </c>
      <c r="G85" s="417" t="s">
        <v>276</v>
      </c>
      <c r="H85" s="398"/>
    </row>
    <row r="86" spans="1:15" ht="33" customHeight="1">
      <c r="A86" s="379" t="s">
        <v>52</v>
      </c>
      <c r="B86" s="211">
        <f>B85</f>
        <v>104403.57</v>
      </c>
      <c r="C86" s="206">
        <f>D86*B86*12/1000</f>
        <v>195.72627472584483</v>
      </c>
      <c r="D86" s="381">
        <f>0.28*0.489*1.141</f>
        <v>0.15622572000000001</v>
      </c>
      <c r="E86" s="206">
        <f t="shared" si="7"/>
        <v>1.8747086400000001</v>
      </c>
      <c r="F86" s="412" t="s">
        <v>545</v>
      </c>
      <c r="G86" s="417" t="s">
        <v>276</v>
      </c>
      <c r="H86" s="398"/>
    </row>
    <row r="87" spans="1:15" ht="47.25" customHeight="1">
      <c r="A87" s="379" t="s">
        <v>342</v>
      </c>
      <c r="B87" s="211">
        <f>B86</f>
        <v>104403.57</v>
      </c>
      <c r="C87" s="206">
        <f>D87*B87*12/1000</f>
        <v>10.485336146027398</v>
      </c>
      <c r="D87" s="381">
        <f>0.015*0.489*1.141</f>
        <v>8.3692349999999992E-3</v>
      </c>
      <c r="E87" s="206">
        <f t="shared" si="7"/>
        <v>0.10043081999999999</v>
      </c>
      <c r="F87" s="412" t="s">
        <v>545</v>
      </c>
      <c r="G87" s="417" t="s">
        <v>276</v>
      </c>
      <c r="H87" s="398"/>
    </row>
    <row r="88" spans="1:15" ht="44.25" customHeight="1">
      <c r="A88" s="379" t="s">
        <v>54</v>
      </c>
      <c r="B88" s="211">
        <f>B87</f>
        <v>104403.57</v>
      </c>
      <c r="C88" s="206">
        <f>D88*B88*12/1000</f>
        <v>27.960896389406408</v>
      </c>
      <c r="D88" s="381">
        <f>0.04*0.489*1.141</f>
        <v>2.2317960000000001E-2</v>
      </c>
      <c r="E88" s="206">
        <f t="shared" si="7"/>
        <v>0.26781552000000003</v>
      </c>
      <c r="F88" s="412" t="s">
        <v>545</v>
      </c>
      <c r="G88" s="417" t="s">
        <v>276</v>
      </c>
      <c r="H88" s="398"/>
      <c r="I88" s="201">
        <f>SUM(C84:C88)</f>
        <v>318.05519642949787</v>
      </c>
      <c r="M88" s="359">
        <f>I88</f>
        <v>318.05519642949787</v>
      </c>
    </row>
    <row r="89" spans="1:15" ht="14.25">
      <c r="A89" s="613" t="s">
        <v>55</v>
      </c>
      <c r="B89" s="613"/>
      <c r="C89" s="613"/>
      <c r="D89" s="613"/>
      <c r="E89" s="613"/>
      <c r="F89" s="613"/>
      <c r="G89" s="613"/>
      <c r="H89" s="398"/>
      <c r="O89" s="410"/>
    </row>
    <row r="90" spans="1:15" ht="31.5" customHeight="1">
      <c r="A90" s="379" t="s">
        <v>356</v>
      </c>
      <c r="B90" s="211">
        <f>B88</f>
        <v>104403.57</v>
      </c>
      <c r="C90" s="206">
        <f>D90*B90*12/1000</f>
        <v>145.64298015</v>
      </c>
      <c r="D90" s="381">
        <f>0.15*0.775</f>
        <v>0.11624999999999999</v>
      </c>
      <c r="E90" s="206">
        <f t="shared" si="7"/>
        <v>1.395</v>
      </c>
      <c r="F90" s="412" t="s">
        <v>545</v>
      </c>
      <c r="G90" s="417" t="s">
        <v>276</v>
      </c>
      <c r="H90" s="398"/>
    </row>
    <row r="91" spans="1:15" ht="32.25" customHeight="1">
      <c r="A91" s="379" t="s">
        <v>57</v>
      </c>
      <c r="B91" s="211">
        <f>B90</f>
        <v>104403.57</v>
      </c>
      <c r="C91" s="206">
        <f>D91*B91*12/1000</f>
        <v>646.19128001519994</v>
      </c>
      <c r="D91" s="381">
        <f>0.697*0.74</f>
        <v>0.51577999999999991</v>
      </c>
      <c r="E91" s="206">
        <f t="shared" si="7"/>
        <v>6.1893599999999989</v>
      </c>
      <c r="F91" s="412" t="s">
        <v>545</v>
      </c>
      <c r="G91" s="417" t="s">
        <v>276</v>
      </c>
      <c r="H91" s="398"/>
    </row>
    <row r="92" spans="1:15" ht="45" customHeight="1">
      <c r="A92" s="379" t="s">
        <v>69</v>
      </c>
      <c r="B92" s="211">
        <f>B91</f>
        <v>104403.57</v>
      </c>
      <c r="C92" s="206">
        <f>D92*B92*12/1000</f>
        <v>384.62275188000001</v>
      </c>
      <c r="D92" s="381">
        <v>0.307</v>
      </c>
      <c r="E92" s="206">
        <f t="shared" si="7"/>
        <v>3.6840000000000002</v>
      </c>
      <c r="F92" s="412" t="s">
        <v>545</v>
      </c>
      <c r="G92" s="417" t="s">
        <v>276</v>
      </c>
      <c r="H92" s="398"/>
      <c r="I92" s="201">
        <f>SUM(C90:C92)</f>
        <v>1176.4570120451999</v>
      </c>
    </row>
    <row r="93" spans="1:15" ht="14.25">
      <c r="A93" s="613" t="s">
        <v>59</v>
      </c>
      <c r="B93" s="613"/>
      <c r="C93" s="613"/>
      <c r="D93" s="613"/>
      <c r="E93" s="613"/>
      <c r="F93" s="613"/>
      <c r="G93" s="613"/>
      <c r="H93" s="398"/>
      <c r="O93" s="410"/>
    </row>
    <row r="94" spans="1:15" ht="15">
      <c r="A94" s="379" t="s">
        <v>61</v>
      </c>
      <c r="B94" s="211">
        <f>B92</f>
        <v>104403.57</v>
      </c>
      <c r="C94" s="206">
        <f>D94*B94*12/1000</f>
        <v>216.74181131999998</v>
      </c>
      <c r="D94" s="381">
        <f>0.173*1</f>
        <v>0.17299999999999999</v>
      </c>
      <c r="E94" s="206">
        <f>D94*12</f>
        <v>2.0759999999999996</v>
      </c>
      <c r="F94" s="412" t="s">
        <v>545</v>
      </c>
      <c r="G94" s="417" t="s">
        <v>276</v>
      </c>
      <c r="H94" s="398"/>
    </row>
    <row r="95" spans="1:15" ht="15">
      <c r="A95" s="379" t="s">
        <v>304</v>
      </c>
      <c r="B95" s="211">
        <f>B94</f>
        <v>104403.57</v>
      </c>
      <c r="C95" s="206">
        <f>D95*B95*12/1000</f>
        <v>72.664884720000003</v>
      </c>
      <c r="D95" s="381">
        <f>0.058</f>
        <v>5.8000000000000003E-2</v>
      </c>
      <c r="E95" s="206">
        <f>D95*12</f>
        <v>0.69600000000000006</v>
      </c>
      <c r="F95" s="412" t="s">
        <v>545</v>
      </c>
      <c r="G95" s="417" t="s">
        <v>276</v>
      </c>
      <c r="H95" s="398"/>
    </row>
    <row r="96" spans="1:15" ht="45">
      <c r="A96" s="379" t="s">
        <v>305</v>
      </c>
      <c r="B96" s="211">
        <f>B94</f>
        <v>104403.57</v>
      </c>
      <c r="C96" s="206">
        <f>D96*B96*12/1000</f>
        <v>10.500075842039999</v>
      </c>
      <c r="D96" s="381">
        <f>0.008381</f>
        <v>8.3809999999999996E-3</v>
      </c>
      <c r="E96" s="206">
        <f>D96*12</f>
        <v>0.10057199999999999</v>
      </c>
      <c r="F96" s="412" t="s">
        <v>545</v>
      </c>
      <c r="G96" s="417" t="s">
        <v>276</v>
      </c>
      <c r="H96" s="398"/>
    </row>
    <row r="97" spans="1:12" ht="14.25">
      <c r="A97" s="199" t="s">
        <v>65</v>
      </c>
      <c r="B97" s="187"/>
      <c r="C97" s="63">
        <f>C13+C16+C17+C20+C22+C27+C28+C31+C33+C34+C37+C38+C40+C41+C44+C46+C47+C49+C50+C54+C55+C57+C60+C63+C66+C67++C71+C72+C78+C80+C82+C84+C85+C86+C87+C88+C90+C91+C92+C94+C95+C96+C18</f>
        <v>5574.1492737821118</v>
      </c>
      <c r="D97" s="63">
        <f>D13+D16+D17+D20+D22+D27+D28+D31+D33+D34+D37+D38+D40+D41+D44+D46+D47+D49+D50+D54+D55+D57+D60+D63+D66+D67++D71+D72+D78+D80+D82+D84+D85+D86+D87+D88+D90+D91+D92+D94+D95+D96+D18</f>
        <v>4.4496524989376258</v>
      </c>
      <c r="E97" s="63">
        <f>E13+E15+E16+E17+E18+E19+E20+E22+E23+E25+E26+E27+E28+E30+E31+E32+E33+E34+E35+E36+E37+E38+E40+E41+E42+E44+E45+E46+E47+E49+E50+E51+E52+E53+E54+E55+E56+E57+E58+E59+E60+E61+E63+E64+E65+E66+E67+E68+E70+E71+E72+E73+E78+E80+E82+E84+E85+E86+E87+E88+E90+E91+E92+E94</f>
        <v>52.599257987251491</v>
      </c>
      <c r="F97" s="63"/>
      <c r="G97" s="411"/>
      <c r="H97" s="173"/>
      <c r="I97" s="361">
        <f>C97/B94/12*1000</f>
        <v>4.4492007263912781</v>
      </c>
      <c r="L97" s="201">
        <f>M88+M80+K12</f>
        <v>5574.1492737821118</v>
      </c>
    </row>
    <row r="98" spans="1:12" ht="29.25" customHeight="1">
      <c r="A98" s="200" t="s">
        <v>66</v>
      </c>
      <c r="B98" s="187"/>
      <c r="C98" s="68">
        <f>C97+обяз!C27</f>
        <v>14591.396626167829</v>
      </c>
      <c r="D98" s="389">
        <f>D97+обяз!D27</f>
        <v>11.646418976356067</v>
      </c>
      <c r="E98" s="63"/>
      <c r="F98" s="63"/>
      <c r="G98" s="411"/>
      <c r="H98" s="173"/>
      <c r="I98" s="146">
        <f>C98/B94/12*1000</f>
        <v>11.646629697119733</v>
      </c>
    </row>
    <row r="99" spans="1:12" ht="14.25" hidden="1">
      <c r="A99" s="66" t="s">
        <v>84</v>
      </c>
      <c r="B99" s="42"/>
      <c r="C99" s="67">
        <f>C98/12</f>
        <v>1215.949718847319</v>
      </c>
      <c r="D99" s="42"/>
      <c r="E99" s="42"/>
      <c r="F99" s="42"/>
      <c r="G99" s="42"/>
    </row>
    <row r="100" spans="1:12" ht="14.25">
      <c r="A100" s="31" t="s">
        <v>67</v>
      </c>
    </row>
    <row r="101" spans="1:12">
      <c r="A101" t="s">
        <v>540</v>
      </c>
    </row>
    <row r="102" spans="1:12" ht="14.25">
      <c r="A102" s="31"/>
    </row>
    <row r="103" spans="1:12">
      <c r="A103" s="32"/>
    </row>
  </sheetData>
  <sheetProtection password="CC0F" sheet="1" objects="1" scenarios="1"/>
  <mergeCells count="49">
    <mergeCell ref="A93:G93"/>
    <mergeCell ref="A81:G81"/>
    <mergeCell ref="A83:G83"/>
    <mergeCell ref="A89:G89"/>
    <mergeCell ref="E78:E79"/>
    <mergeCell ref="A78:A79"/>
    <mergeCell ref="B78:B79"/>
    <mergeCell ref="C78:C79"/>
    <mergeCell ref="D78:D79"/>
    <mergeCell ref="G78:G79"/>
    <mergeCell ref="F78:F79"/>
    <mergeCell ref="A48:G48"/>
    <mergeCell ref="A62:G62"/>
    <mergeCell ref="A69:G69"/>
    <mergeCell ref="A74:G74"/>
    <mergeCell ref="A77:H77"/>
    <mergeCell ref="H13:H14"/>
    <mergeCell ref="H23:H24"/>
    <mergeCell ref="A29:G29"/>
    <mergeCell ref="A39:G39"/>
    <mergeCell ref="A43:G43"/>
    <mergeCell ref="A21:G21"/>
    <mergeCell ref="B23:B24"/>
    <mergeCell ref="C23:C24"/>
    <mergeCell ref="D23:D24"/>
    <mergeCell ref="E23:E24"/>
    <mergeCell ref="G23:G24"/>
    <mergeCell ref="F13:F14"/>
    <mergeCell ref="A12:G12"/>
    <mergeCell ref="A13:A14"/>
    <mergeCell ref="B13:B14"/>
    <mergeCell ref="C13:C14"/>
    <mergeCell ref="D13:D14"/>
    <mergeCell ref="E13:E14"/>
    <mergeCell ref="G13:G14"/>
    <mergeCell ref="H9:H10"/>
    <mergeCell ref="A2:G2"/>
    <mergeCell ref="A3:G3"/>
    <mergeCell ref="A4:G4"/>
    <mergeCell ref="A5:G5"/>
    <mergeCell ref="A7:G7"/>
    <mergeCell ref="A8:G8"/>
    <mergeCell ref="A9:A11"/>
    <mergeCell ref="B9:B11"/>
    <mergeCell ref="D9:D11"/>
    <mergeCell ref="E9:E11"/>
    <mergeCell ref="G9:G11"/>
    <mergeCell ref="F9:F11"/>
    <mergeCell ref="C9:C11"/>
  </mergeCells>
  <phoneticPr fontId="2" type="noConversion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1"/>
  <dimension ref="A1:F151"/>
  <sheetViews>
    <sheetView topLeftCell="A2" workbookViewId="0">
      <selection activeCell="A2" sqref="A1:IV65536"/>
    </sheetView>
  </sheetViews>
  <sheetFormatPr defaultRowHeight="12.75"/>
  <cols>
    <col min="1" max="1" width="24.42578125" customWidth="1"/>
    <col min="2" max="2" width="22.7109375" customWidth="1"/>
    <col min="3" max="3" width="16.85546875" customWidth="1"/>
    <col min="4" max="4" width="17.85546875" customWidth="1"/>
    <col min="5" max="5" width="15.140625" customWidth="1"/>
    <col min="6" max="6" width="14.140625" style="65" customWidth="1"/>
  </cols>
  <sheetData>
    <row r="1" spans="1:6">
      <c r="A1" s="497" t="s">
        <v>434</v>
      </c>
      <c r="B1" s="497"/>
      <c r="C1" s="497"/>
      <c r="D1" s="497"/>
      <c r="E1" s="497"/>
    </row>
    <row r="2" spans="1:6" ht="15.75">
      <c r="A2" s="473" t="s">
        <v>435</v>
      </c>
      <c r="B2" s="473"/>
      <c r="C2" s="473"/>
      <c r="D2" s="473"/>
      <c r="E2" s="473"/>
    </row>
    <row r="3" spans="1:6" ht="15.75">
      <c r="A3" s="436" t="s">
        <v>203</v>
      </c>
      <c r="B3" s="436"/>
      <c r="C3" s="436"/>
      <c r="D3" s="436"/>
      <c r="E3" s="436"/>
    </row>
    <row r="4" spans="1:6" ht="24" customHeight="1">
      <c r="A4" s="584" t="s">
        <v>437</v>
      </c>
      <c r="B4" s="428" t="s">
        <v>438</v>
      </c>
      <c r="C4" s="188" t="s">
        <v>439</v>
      </c>
      <c r="D4" s="210" t="s">
        <v>454</v>
      </c>
      <c r="E4" s="601" t="s">
        <v>458</v>
      </c>
      <c r="F4" s="589" t="s">
        <v>83</v>
      </c>
    </row>
    <row r="5" spans="1:6" ht="14.25">
      <c r="A5" s="584"/>
      <c r="B5" s="428"/>
      <c r="C5" s="189" t="s">
        <v>440</v>
      </c>
      <c r="D5" s="184" t="s">
        <v>455</v>
      </c>
      <c r="E5" s="602"/>
      <c r="F5" s="589"/>
    </row>
    <row r="6" spans="1:6" ht="14.25" customHeight="1">
      <c r="A6" s="584"/>
      <c r="B6" s="428"/>
      <c r="C6" s="189" t="s">
        <v>441</v>
      </c>
      <c r="D6" s="184" t="s">
        <v>456</v>
      </c>
      <c r="E6" s="602"/>
      <c r="F6" s="589"/>
    </row>
    <row r="7" spans="1:6" ht="15.75" customHeight="1">
      <c r="A7" s="584"/>
      <c r="B7" s="428"/>
      <c r="C7" s="638"/>
      <c r="D7" s="605" t="s">
        <v>457</v>
      </c>
      <c r="E7" s="602"/>
      <c r="F7" s="589"/>
    </row>
    <row r="8" spans="1:6" ht="2.25" customHeight="1">
      <c r="A8" s="584"/>
      <c r="B8" s="428"/>
      <c r="C8" s="639"/>
      <c r="D8" s="640"/>
      <c r="E8" s="437"/>
      <c r="F8" s="589"/>
    </row>
    <row r="9" spans="1:6" ht="16.5" customHeight="1">
      <c r="A9" s="611" t="s">
        <v>460</v>
      </c>
      <c r="B9" s="604"/>
      <c r="C9" s="604"/>
      <c r="D9" s="604"/>
      <c r="E9" s="605"/>
    </row>
    <row r="10" spans="1:6" ht="52.5" customHeight="1">
      <c r="A10" s="72" t="s">
        <v>28</v>
      </c>
      <c r="B10" s="181" t="s">
        <v>462</v>
      </c>
      <c r="C10" s="195">
        <f>D10*F10*12/1000</f>
        <v>67.499757994199996</v>
      </c>
      <c r="D10" s="196">
        <f>0.019*1.55*1.834</f>
        <v>5.4011300000000005E-2</v>
      </c>
      <c r="E10" s="181"/>
      <c r="F10" s="69">
        <f>доп.многоэт!B13</f>
        <v>104144.5</v>
      </c>
    </row>
    <row r="11" spans="1:6" ht="20.25" customHeight="1">
      <c r="A11" s="672" t="s">
        <v>463</v>
      </c>
      <c r="B11" s="607"/>
      <c r="C11" s="607"/>
      <c r="D11" s="607"/>
      <c r="E11" s="608"/>
    </row>
    <row r="12" spans="1:6" ht="15">
      <c r="A12" s="204" t="s">
        <v>478</v>
      </c>
      <c r="B12" s="181" t="s">
        <v>464</v>
      </c>
      <c r="C12" s="195">
        <f>D12*F12*12/1000</f>
        <v>177.63094209000005</v>
      </c>
      <c r="D12" s="196">
        <f>0.05*1.55*1.834</f>
        <v>0.14213500000000004</v>
      </c>
      <c r="E12" s="181"/>
      <c r="F12" s="65">
        <f>F10</f>
        <v>104144.5</v>
      </c>
    </row>
    <row r="13" spans="1:6" ht="45">
      <c r="A13" s="182" t="s">
        <v>206</v>
      </c>
      <c r="B13" s="181" t="s">
        <v>464</v>
      </c>
      <c r="C13" s="195">
        <f>D13*F13*12/1000</f>
        <v>213.15713050800002</v>
      </c>
      <c r="D13" s="196">
        <f>0.06*1.55*1.834</f>
        <v>0.17056200000000002</v>
      </c>
      <c r="E13" s="181"/>
      <c r="F13" s="65">
        <f>F12</f>
        <v>104144.5</v>
      </c>
    </row>
    <row r="14" spans="1:6" ht="14.25">
      <c r="A14" s="672" t="s">
        <v>74</v>
      </c>
      <c r="B14" s="607"/>
      <c r="C14" s="607"/>
      <c r="D14" s="607"/>
      <c r="E14" s="608"/>
    </row>
    <row r="15" spans="1:6" ht="30">
      <c r="A15" s="182" t="s">
        <v>205</v>
      </c>
      <c r="B15" s="204" t="s">
        <v>462</v>
      </c>
      <c r="C15" s="195">
        <f>D15*F15*12/1000</f>
        <v>603.94520310600012</v>
      </c>
      <c r="D15" s="196">
        <f>0.17*1.55*1.834</f>
        <v>0.48325900000000005</v>
      </c>
      <c r="E15" s="181"/>
      <c r="F15" s="65">
        <f>F13</f>
        <v>104144.5</v>
      </c>
    </row>
    <row r="16" spans="1:6" ht="30">
      <c r="A16" s="182" t="s">
        <v>452</v>
      </c>
      <c r="B16" s="204" t="s">
        <v>453</v>
      </c>
      <c r="C16" s="195">
        <f>D16*F16*12/1000</f>
        <v>1724.2807449588001</v>
      </c>
      <c r="D16" s="196">
        <f>0.7523*1.834</f>
        <v>1.3797181999999999</v>
      </c>
      <c r="E16" s="181"/>
      <c r="F16" s="65">
        <f>F15</f>
        <v>104144.5</v>
      </c>
    </row>
    <row r="17" spans="1:6" ht="17.25" customHeight="1">
      <c r="A17" s="672" t="s">
        <v>76</v>
      </c>
      <c r="B17" s="607"/>
      <c r="C17" s="607"/>
      <c r="D17" s="607"/>
      <c r="E17" s="608"/>
    </row>
    <row r="18" spans="1:6" ht="42.75" customHeight="1">
      <c r="A18" s="609" t="s">
        <v>467</v>
      </c>
      <c r="B18" s="202" t="s">
        <v>442</v>
      </c>
      <c r="C18" s="206">
        <f>D18*F18*12/1000</f>
        <v>438.69112665839992</v>
      </c>
      <c r="D18" s="196">
        <f>0.1914*1.834</f>
        <v>0.3510276</v>
      </c>
      <c r="E18" s="181"/>
      <c r="F18" s="65">
        <f>F16</f>
        <v>104144.5</v>
      </c>
    </row>
    <row r="19" spans="1:6" ht="63" customHeight="1">
      <c r="A19" s="610"/>
      <c r="B19" s="203" t="s">
        <v>25</v>
      </c>
      <c r="C19" s="206">
        <f>D19*F19*12/1000</f>
        <v>820.54035184800023</v>
      </c>
      <c r="D19" s="196">
        <f>0.179*2*1.834</f>
        <v>0.65657200000000004</v>
      </c>
      <c r="E19" s="181"/>
      <c r="F19" s="65">
        <f>F18</f>
        <v>104144.5</v>
      </c>
    </row>
    <row r="20" spans="1:6" ht="15.75" customHeight="1">
      <c r="A20" s="672" t="s">
        <v>77</v>
      </c>
      <c r="B20" s="607"/>
      <c r="C20" s="607"/>
      <c r="D20" s="607"/>
      <c r="E20" s="608"/>
    </row>
    <row r="21" spans="1:6" ht="63.75">
      <c r="A21" s="204" t="s">
        <v>473</v>
      </c>
      <c r="B21" s="205" t="s">
        <v>29</v>
      </c>
      <c r="C21" s="195">
        <f>D21*F21*12/1000</f>
        <v>3653.4673766640008</v>
      </c>
      <c r="D21" s="196">
        <f>1.594*1.834</f>
        <v>2.9233960000000003</v>
      </c>
      <c r="E21" s="181"/>
      <c r="F21" s="65">
        <f>F19</f>
        <v>104144.5</v>
      </c>
    </row>
    <row r="22" spans="1:6" ht="30">
      <c r="A22" s="182" t="s">
        <v>475</v>
      </c>
      <c r="B22" s="203" t="s">
        <v>30</v>
      </c>
      <c r="C22" s="195">
        <f>D22*F22*12/1000</f>
        <v>230.92022471699997</v>
      </c>
      <c r="D22" s="196">
        <f>0.065*1.55*1.834</f>
        <v>0.18477550000000001</v>
      </c>
      <c r="E22" s="181"/>
      <c r="F22" s="65">
        <f>F21</f>
        <v>104144.5</v>
      </c>
    </row>
    <row r="23" spans="1:6" ht="14.25">
      <c r="A23" s="197" t="s">
        <v>477</v>
      </c>
      <c r="B23" s="197"/>
      <c r="C23" s="63">
        <f>C10+C12+C13+C15+C18+C19+C21+C22</f>
        <v>6205.8521135856008</v>
      </c>
      <c r="D23" s="63">
        <f>D10+D12+D13+D15+D18+D19+D21+D22</f>
        <v>4.9657384000000002</v>
      </c>
      <c r="E23" s="187"/>
      <c r="F23" s="65">
        <f>C23/12/F22*1000</f>
        <v>4.9657384000000002</v>
      </c>
    </row>
    <row r="24" spans="1:6" hidden="1">
      <c r="A24" s="207"/>
      <c r="B24" s="208"/>
      <c r="C24" s="209">
        <f>C23/12</f>
        <v>517.15434279880003</v>
      </c>
      <c r="D24" s="208"/>
      <c r="E24" s="208"/>
    </row>
    <row r="75" ht="42" customHeight="1"/>
    <row r="79" ht="16.5" customHeight="1"/>
    <row r="151" ht="16.5" customHeight="1"/>
  </sheetData>
  <mergeCells count="15">
    <mergeCell ref="F4:F8"/>
    <mergeCell ref="A1:E1"/>
    <mergeCell ref="A2:E2"/>
    <mergeCell ref="A3:E3"/>
    <mergeCell ref="D7:D8"/>
    <mergeCell ref="E4:E8"/>
    <mergeCell ref="C7:C8"/>
    <mergeCell ref="A20:E20"/>
    <mergeCell ref="B4:B8"/>
    <mergeCell ref="A17:E17"/>
    <mergeCell ref="A14:E14"/>
    <mergeCell ref="A4:A8"/>
    <mergeCell ref="A9:E9"/>
    <mergeCell ref="A11:E11"/>
    <mergeCell ref="A18:A19"/>
  </mergeCells>
  <phoneticPr fontId="2" type="noConversion"/>
  <pageMargins left="0.39370078740157483" right="0.39370078740157483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08"/>
  <sheetViews>
    <sheetView topLeftCell="A94" workbookViewId="0">
      <selection activeCell="A117" sqref="A117"/>
    </sheetView>
  </sheetViews>
  <sheetFormatPr defaultRowHeight="12.75"/>
  <cols>
    <col min="1" max="1" width="34.5703125" customWidth="1"/>
    <col min="2" max="2" width="13.28515625" customWidth="1"/>
    <col min="3" max="3" width="14" customWidth="1"/>
    <col min="4" max="4" width="11.85546875" customWidth="1"/>
    <col min="5" max="5" width="13.28515625" customWidth="1"/>
  </cols>
  <sheetData>
    <row r="1" spans="1:9" ht="15.75">
      <c r="A1" s="1" t="s">
        <v>434</v>
      </c>
    </row>
    <row r="2" spans="1:9" ht="15.75">
      <c r="A2" s="1" t="s">
        <v>480</v>
      </c>
    </row>
    <row r="3" spans="1:9" ht="15.75">
      <c r="A3" s="1" t="s">
        <v>481</v>
      </c>
    </row>
    <row r="4" spans="1:9" ht="15.75">
      <c r="A4" s="1" t="s">
        <v>482</v>
      </c>
    </row>
    <row r="5" spans="1:9" ht="15.75">
      <c r="A5" s="1"/>
    </row>
    <row r="6" spans="1:9" ht="15.75">
      <c r="A6" s="1" t="s">
        <v>483</v>
      </c>
    </row>
    <row r="7" spans="1:9" ht="15" thickBot="1">
      <c r="A7" s="25"/>
    </row>
    <row r="8" spans="1:9" ht="49.5" customHeight="1">
      <c r="A8" s="441" t="s">
        <v>484</v>
      </c>
      <c r="B8" s="441" t="s">
        <v>485</v>
      </c>
      <c r="C8" s="7" t="s">
        <v>486</v>
      </c>
      <c r="D8" s="441" t="s">
        <v>489</v>
      </c>
      <c r="E8" s="441" t="s">
        <v>458</v>
      </c>
      <c r="F8" s="447"/>
      <c r="G8" s="448"/>
      <c r="H8" s="448"/>
      <c r="I8" s="448"/>
    </row>
    <row r="9" spans="1:9" ht="29.25" thickBot="1">
      <c r="A9" s="442"/>
      <c r="B9" s="442"/>
      <c r="C9" s="8" t="s">
        <v>487</v>
      </c>
      <c r="D9" s="443"/>
      <c r="E9" s="442"/>
      <c r="F9" s="447"/>
      <c r="G9" s="448"/>
      <c r="H9" s="448"/>
      <c r="I9" s="448"/>
    </row>
    <row r="10" spans="1:9" ht="43.5" customHeight="1" thickBot="1">
      <c r="A10" s="443"/>
      <c r="B10" s="443"/>
      <c r="C10" s="11" t="s">
        <v>488</v>
      </c>
      <c r="D10" s="11" t="s">
        <v>70</v>
      </c>
      <c r="E10" s="443"/>
      <c r="F10" s="447"/>
      <c r="G10" s="448"/>
      <c r="H10" s="448"/>
      <c r="I10" s="448"/>
    </row>
    <row r="11" spans="1:9" ht="15" thickBot="1">
      <c r="A11" s="438" t="s">
        <v>490</v>
      </c>
      <c r="B11" s="439"/>
      <c r="C11" s="439"/>
      <c r="D11" s="439"/>
      <c r="E11" s="440"/>
      <c r="F11" s="447"/>
      <c r="G11" s="448"/>
      <c r="H11" s="448"/>
      <c r="I11" s="448"/>
    </row>
    <row r="12" spans="1:9" ht="19.5" customHeight="1">
      <c r="A12" s="464" t="s">
        <v>491</v>
      </c>
      <c r="B12" s="466"/>
      <c r="C12" s="462">
        <f>D12*B12*12/1000</f>
        <v>0</v>
      </c>
      <c r="D12" s="462">
        <v>7.7299999999999994E-2</v>
      </c>
      <c r="E12" s="466"/>
      <c r="F12" s="447"/>
      <c r="G12" s="448"/>
      <c r="H12" s="448"/>
      <c r="I12" s="448"/>
    </row>
    <row r="13" spans="1:9" ht="13.5" customHeight="1" thickBot="1">
      <c r="A13" s="465"/>
      <c r="B13" s="467"/>
      <c r="C13" s="463"/>
      <c r="D13" s="463"/>
      <c r="E13" s="467"/>
      <c r="F13" s="447"/>
      <c r="G13" s="448"/>
      <c r="H13" s="448"/>
      <c r="I13" s="448"/>
    </row>
    <row r="14" spans="1:9" ht="30" customHeight="1" thickBot="1">
      <c r="A14" s="13" t="s">
        <v>492</v>
      </c>
      <c r="B14" s="19"/>
      <c r="C14" s="14">
        <f t="shared" ref="C14:C19" si="0">D14*B14*12/1000</f>
        <v>0</v>
      </c>
      <c r="D14" s="14">
        <v>0.19259999999999999</v>
      </c>
      <c r="E14" s="19"/>
      <c r="F14" s="447"/>
      <c r="G14" s="448"/>
      <c r="H14" s="448"/>
      <c r="I14" s="448"/>
    </row>
    <row r="15" spans="1:9" ht="34.5" customHeight="1" thickBot="1">
      <c r="A15" s="13" t="s">
        <v>493</v>
      </c>
      <c r="B15" s="19"/>
      <c r="C15" s="14">
        <f t="shared" si="0"/>
        <v>0</v>
      </c>
      <c r="D15" s="14">
        <v>5.9999999999999995E-4</v>
      </c>
      <c r="E15" s="19"/>
      <c r="F15" s="447"/>
      <c r="G15" s="448"/>
      <c r="H15" s="448"/>
      <c r="I15" s="448"/>
    </row>
    <row r="16" spans="1:9" ht="17.25" customHeight="1" thickBot="1">
      <c r="A16" s="13" t="s">
        <v>494</v>
      </c>
      <c r="B16" s="19"/>
      <c r="C16" s="14">
        <f t="shared" si="0"/>
        <v>0</v>
      </c>
      <c r="D16" s="14">
        <v>1.1999999999999999E-3</v>
      </c>
      <c r="E16" s="19"/>
      <c r="F16" s="447"/>
      <c r="G16" s="448"/>
      <c r="H16" s="448"/>
      <c r="I16" s="448"/>
    </row>
    <row r="17" spans="1:9" ht="16.5" customHeight="1" thickBot="1">
      <c r="A17" s="13" t="s">
        <v>495</v>
      </c>
      <c r="B17" s="19"/>
      <c r="C17" s="14">
        <f t="shared" si="0"/>
        <v>0</v>
      </c>
      <c r="D17" s="14">
        <v>1.23E-2</v>
      </c>
      <c r="E17" s="19"/>
      <c r="F17" s="447"/>
      <c r="G17" s="448"/>
      <c r="H17" s="448"/>
      <c r="I17" s="448"/>
    </row>
    <row r="18" spans="1:9" ht="30.75" customHeight="1" thickBot="1">
      <c r="A18" s="13" t="s">
        <v>496</v>
      </c>
      <c r="B18" s="19"/>
      <c r="C18" s="14">
        <f t="shared" si="0"/>
        <v>0</v>
      </c>
      <c r="D18" s="14">
        <v>8.3000000000000001E-3</v>
      </c>
      <c r="E18" s="19"/>
      <c r="F18" s="447"/>
      <c r="G18" s="448"/>
      <c r="H18" s="448"/>
      <c r="I18" s="448"/>
    </row>
    <row r="19" spans="1:9" ht="62.25" customHeight="1" thickBot="1">
      <c r="A19" s="13" t="s">
        <v>497</v>
      </c>
      <c r="B19" s="19"/>
      <c r="C19" s="14">
        <f t="shared" si="0"/>
        <v>0</v>
      </c>
      <c r="D19" s="14">
        <v>3.2000000000000002E-3</v>
      </c>
      <c r="E19" s="19"/>
      <c r="F19" s="447"/>
      <c r="G19" s="448"/>
      <c r="H19" s="448"/>
      <c r="I19" s="448"/>
    </row>
    <row r="20" spans="1:9" ht="28.5" customHeight="1" thickBot="1">
      <c r="A20" s="438" t="s">
        <v>498</v>
      </c>
      <c r="B20" s="439"/>
      <c r="C20" s="439"/>
      <c r="D20" s="439"/>
      <c r="E20" s="440"/>
      <c r="F20" s="447"/>
      <c r="G20" s="448"/>
      <c r="H20" s="448"/>
      <c r="I20" s="448"/>
    </row>
    <row r="21" spans="1:9" ht="31.5" customHeight="1" thickBot="1">
      <c r="A21" s="13" t="s">
        <v>499</v>
      </c>
      <c r="B21" s="11"/>
      <c r="C21" s="14">
        <f>D21*B21*12/1000</f>
        <v>0</v>
      </c>
      <c r="D21" s="14">
        <v>3.2000000000000002E-3</v>
      </c>
      <c r="E21" s="35"/>
      <c r="F21" s="447"/>
      <c r="G21" s="448"/>
      <c r="H21" s="448"/>
      <c r="I21" s="448"/>
    </row>
    <row r="22" spans="1:9" ht="13.5" customHeight="1">
      <c r="A22" s="27" t="s">
        <v>500</v>
      </c>
      <c r="B22" s="460"/>
      <c r="C22" s="462">
        <f>D22*B22*12/1000</f>
        <v>0</v>
      </c>
      <c r="D22" s="462">
        <v>3.2000000000000002E-3</v>
      </c>
      <c r="E22" s="441"/>
      <c r="F22" s="447"/>
      <c r="G22" s="448"/>
      <c r="H22" s="448"/>
      <c r="I22" s="448"/>
    </row>
    <row r="23" spans="1:9" ht="14.25" customHeight="1" thickBot="1">
      <c r="A23" s="13" t="s">
        <v>501</v>
      </c>
      <c r="B23" s="461"/>
      <c r="C23" s="463"/>
      <c r="D23" s="463"/>
      <c r="E23" s="443"/>
      <c r="F23" s="447"/>
      <c r="G23" s="448"/>
      <c r="H23" s="448"/>
      <c r="I23" s="448"/>
    </row>
    <row r="24" spans="1:9" ht="44.25" customHeight="1" thickBot="1">
      <c r="A24" s="13" t="s">
        <v>502</v>
      </c>
      <c r="B24" s="11"/>
      <c r="C24" s="14">
        <f>D24*B24*12/1000</f>
        <v>0</v>
      </c>
      <c r="D24" s="14">
        <v>1.61E-2</v>
      </c>
      <c r="E24" s="11"/>
      <c r="F24" s="447"/>
      <c r="G24" s="448"/>
      <c r="H24" s="448"/>
      <c r="I24" s="448"/>
    </row>
    <row r="25" spans="1:9" ht="48" customHeight="1" thickBot="1">
      <c r="A25" s="13" t="s">
        <v>503</v>
      </c>
      <c r="B25" s="11"/>
      <c r="C25" s="14">
        <f>D25*B25*12/1000</f>
        <v>0</v>
      </c>
      <c r="D25" s="14">
        <v>0.10639999999999999</v>
      </c>
      <c r="E25" s="11"/>
      <c r="F25" s="447"/>
      <c r="G25" s="448"/>
      <c r="H25" s="448"/>
      <c r="I25" s="448"/>
    </row>
    <row r="26" spans="1:9" ht="65.25" customHeight="1" thickBot="1">
      <c r="A26" s="13" t="s">
        <v>506</v>
      </c>
      <c r="B26" s="11"/>
      <c r="C26" s="14">
        <f>D26*B26*12/1000</f>
        <v>0</v>
      </c>
      <c r="D26" s="14">
        <v>1.1999999999999999E-3</v>
      </c>
      <c r="E26" s="11"/>
      <c r="F26" s="447"/>
      <c r="G26" s="448"/>
      <c r="H26" s="448"/>
      <c r="I26" s="448"/>
    </row>
    <row r="27" spans="1:9" ht="32.25" customHeight="1" thickBot="1">
      <c r="A27" s="13" t="s">
        <v>507</v>
      </c>
      <c r="B27" s="11"/>
      <c r="C27" s="14">
        <f>D27*B27*12/1000</f>
        <v>0</v>
      </c>
      <c r="D27" s="14">
        <v>0.33339999999999997</v>
      </c>
      <c r="E27" s="11"/>
      <c r="F27" s="447"/>
      <c r="G27" s="448"/>
      <c r="H27" s="448"/>
      <c r="I27" s="448"/>
    </row>
    <row r="28" spans="1:9" ht="15" thickBot="1">
      <c r="A28" s="438" t="s">
        <v>508</v>
      </c>
      <c r="B28" s="439"/>
      <c r="C28" s="439"/>
      <c r="D28" s="439"/>
      <c r="E28" s="440"/>
      <c r="F28" s="447"/>
      <c r="G28" s="448"/>
      <c r="H28" s="448"/>
      <c r="I28" s="448"/>
    </row>
    <row r="29" spans="1:9" ht="30.75" customHeight="1" thickBot="1">
      <c r="A29" s="13" t="s">
        <v>509</v>
      </c>
      <c r="B29" s="11"/>
      <c r="C29" s="14">
        <f>D29*B29*12/1000</f>
        <v>0</v>
      </c>
      <c r="D29" s="14">
        <v>6.7000000000000002E-3</v>
      </c>
      <c r="E29" s="36"/>
      <c r="F29" s="447"/>
      <c r="G29" s="448"/>
      <c r="H29" s="448"/>
      <c r="I29" s="448"/>
    </row>
    <row r="30" spans="1:9" ht="60" customHeight="1" thickBot="1">
      <c r="A30" s="13" t="s">
        <v>510</v>
      </c>
      <c r="B30" s="11"/>
      <c r="C30" s="14">
        <f t="shared" ref="C30:C37" si="1">D30*B30*12/1000</f>
        <v>0</v>
      </c>
      <c r="D30" s="14">
        <v>1.1999999999999999E-3</v>
      </c>
      <c r="E30" s="14"/>
      <c r="F30" s="447"/>
      <c r="G30" s="448"/>
      <c r="H30" s="448"/>
      <c r="I30" s="448"/>
    </row>
    <row r="31" spans="1:9" ht="30.75" customHeight="1" thickBot="1">
      <c r="A31" s="13" t="s">
        <v>511</v>
      </c>
      <c r="B31" s="11"/>
      <c r="C31" s="14">
        <f t="shared" si="1"/>
        <v>0</v>
      </c>
      <c r="D31" s="14">
        <v>1.1999999999999999E-3</v>
      </c>
      <c r="E31" s="14"/>
      <c r="F31" s="447"/>
      <c r="G31" s="448"/>
      <c r="H31" s="448"/>
      <c r="I31" s="448"/>
    </row>
    <row r="32" spans="1:9" ht="30" customHeight="1" thickBot="1">
      <c r="A32" s="13" t="s">
        <v>512</v>
      </c>
      <c r="B32" s="11"/>
      <c r="C32" s="14">
        <f t="shared" si="1"/>
        <v>0</v>
      </c>
      <c r="D32" s="14">
        <v>4.4999999999999998E-2</v>
      </c>
      <c r="E32" s="14"/>
      <c r="F32" s="447"/>
      <c r="G32" s="448"/>
      <c r="H32" s="448"/>
      <c r="I32" s="448"/>
    </row>
    <row r="33" spans="1:9" ht="60" customHeight="1" thickBot="1">
      <c r="A33" s="13" t="s">
        <v>513</v>
      </c>
      <c r="B33" s="11"/>
      <c r="C33" s="14">
        <f t="shared" si="1"/>
        <v>0</v>
      </c>
      <c r="D33" s="14">
        <v>6.4000000000000003E-3</v>
      </c>
      <c r="E33" s="14"/>
      <c r="F33" s="447"/>
      <c r="G33" s="448"/>
      <c r="H33" s="448"/>
      <c r="I33" s="448"/>
    </row>
    <row r="34" spans="1:9" ht="90" customHeight="1" thickBot="1">
      <c r="A34" s="13" t="s">
        <v>514</v>
      </c>
      <c r="B34" s="11"/>
      <c r="C34" s="14">
        <f>D34*B34*12/1000</f>
        <v>0</v>
      </c>
      <c r="D34" s="14">
        <v>5.5999999999999999E-3</v>
      </c>
      <c r="E34" s="14"/>
      <c r="F34" s="447"/>
      <c r="G34" s="448"/>
      <c r="H34" s="448"/>
      <c r="I34" s="448"/>
    </row>
    <row r="35" spans="1:9" ht="45" customHeight="1" thickBot="1">
      <c r="A35" s="13" t="s">
        <v>515</v>
      </c>
      <c r="B35" s="11"/>
      <c r="C35" s="14">
        <f t="shared" si="1"/>
        <v>0</v>
      </c>
      <c r="D35" s="14">
        <v>3.2000000000000002E-3</v>
      </c>
      <c r="E35" s="14"/>
      <c r="F35" s="447"/>
      <c r="G35" s="448"/>
      <c r="H35" s="448"/>
      <c r="I35" s="448"/>
    </row>
    <row r="36" spans="1:9" ht="60.75" customHeight="1" thickBot="1">
      <c r="A36" s="13" t="s">
        <v>516</v>
      </c>
      <c r="B36" s="11"/>
      <c r="C36" s="14">
        <f t="shared" si="1"/>
        <v>0</v>
      </c>
      <c r="D36" s="14">
        <v>1.1999999999999999E-3</v>
      </c>
      <c r="E36" s="14"/>
      <c r="F36" s="447"/>
      <c r="G36" s="448"/>
      <c r="H36" s="448"/>
      <c r="I36" s="448"/>
    </row>
    <row r="37" spans="1:9" ht="32.25" customHeight="1" thickBot="1">
      <c r="A37" s="13" t="s">
        <v>517</v>
      </c>
      <c r="B37" s="11"/>
      <c r="C37" s="14">
        <f t="shared" si="1"/>
        <v>0</v>
      </c>
      <c r="D37" s="14">
        <v>0.1419</v>
      </c>
      <c r="E37" s="14"/>
      <c r="F37" s="447"/>
      <c r="G37" s="448"/>
      <c r="H37" s="448"/>
      <c r="I37" s="448"/>
    </row>
    <row r="38" spans="1:9" ht="15" thickBot="1">
      <c r="A38" s="438" t="s">
        <v>518</v>
      </c>
      <c r="B38" s="439"/>
      <c r="C38" s="439"/>
      <c r="D38" s="439"/>
      <c r="E38" s="440"/>
      <c r="F38" s="447"/>
      <c r="G38" s="448"/>
      <c r="H38" s="448"/>
      <c r="I38" s="448"/>
    </row>
    <row r="39" spans="1:9" ht="16.5" customHeight="1" thickBot="1">
      <c r="A39" s="13" t="s">
        <v>519</v>
      </c>
      <c r="B39" s="11"/>
      <c r="C39" s="14">
        <f>D39*B39*12/1000</f>
        <v>0</v>
      </c>
      <c r="D39" s="14">
        <v>2.5000000000000001E-3</v>
      </c>
      <c r="E39" s="35"/>
      <c r="F39" s="447"/>
      <c r="G39" s="448"/>
      <c r="H39" s="448"/>
      <c r="I39" s="448"/>
    </row>
    <row r="40" spans="1:9" ht="45" customHeight="1" thickBot="1">
      <c r="A40" s="13" t="s">
        <v>520</v>
      </c>
      <c r="B40" s="11"/>
      <c r="C40" s="14">
        <f>D40*B40*12/1000</f>
        <v>0</v>
      </c>
      <c r="D40" s="14">
        <v>1.23E-2</v>
      </c>
      <c r="E40" s="11"/>
      <c r="F40" s="447"/>
      <c r="G40" s="448"/>
      <c r="H40" s="448"/>
      <c r="I40" s="448"/>
    </row>
    <row r="41" spans="1:9" ht="60.75" customHeight="1" thickBot="1">
      <c r="A41" s="13" t="s">
        <v>521</v>
      </c>
      <c r="B41" s="11"/>
      <c r="C41" s="14">
        <f>D41*B41*12/1000</f>
        <v>0</v>
      </c>
      <c r="D41" s="14">
        <v>1.23E-2</v>
      </c>
      <c r="E41" s="11"/>
      <c r="F41" s="447"/>
      <c r="G41" s="448"/>
      <c r="H41" s="448"/>
      <c r="I41" s="448"/>
    </row>
    <row r="42" spans="1:9" ht="16.5" customHeight="1" thickBot="1">
      <c r="A42" s="13" t="s">
        <v>522</v>
      </c>
      <c r="B42" s="11"/>
      <c r="C42" s="14">
        <f>D42*B42*12/1000</f>
        <v>0</v>
      </c>
      <c r="D42" s="14">
        <v>1.23E-2</v>
      </c>
      <c r="E42" s="11"/>
      <c r="F42" s="447"/>
      <c r="G42" s="448"/>
      <c r="H42" s="448"/>
      <c r="I42" s="448"/>
    </row>
    <row r="43" spans="1:9" ht="15" thickBot="1">
      <c r="A43" s="438" t="s">
        <v>524</v>
      </c>
      <c r="B43" s="439"/>
      <c r="C43" s="439"/>
      <c r="D43" s="439"/>
      <c r="E43" s="440"/>
      <c r="F43" s="447"/>
      <c r="G43" s="448"/>
      <c r="H43" s="448"/>
      <c r="I43" s="448"/>
    </row>
    <row r="44" spans="1:9" ht="44.25" customHeight="1" thickBot="1">
      <c r="A44" s="13" t="s">
        <v>525</v>
      </c>
      <c r="B44" s="11"/>
      <c r="C44" s="14">
        <f>D44*B44*12/1000</f>
        <v>0</v>
      </c>
      <c r="D44" s="14">
        <v>5.9999999999999995E-4</v>
      </c>
      <c r="E44" s="35"/>
      <c r="F44" s="447"/>
      <c r="G44" s="448"/>
      <c r="H44" s="448"/>
      <c r="I44" s="448"/>
    </row>
    <row r="45" spans="1:9" ht="30.75" customHeight="1" thickBot="1">
      <c r="A45" s="13" t="s">
        <v>526</v>
      </c>
      <c r="B45" s="11"/>
      <c r="C45" s="14">
        <f>D45*B45*12/1000</f>
        <v>0</v>
      </c>
      <c r="D45" s="14">
        <v>1.67E-2</v>
      </c>
      <c r="E45" s="11"/>
      <c r="F45" s="447"/>
      <c r="G45" s="448"/>
      <c r="H45" s="448"/>
      <c r="I45" s="448"/>
    </row>
    <row r="46" spans="1:9" ht="16.5" customHeight="1" thickBot="1">
      <c r="A46" s="13" t="s">
        <v>527</v>
      </c>
      <c r="B46" s="11"/>
      <c r="C46" s="14">
        <f>D46*B46*12/1000</f>
        <v>0</v>
      </c>
      <c r="D46" s="14">
        <v>3.2000000000000002E-3</v>
      </c>
      <c r="E46" s="11"/>
      <c r="F46" s="447"/>
      <c r="G46" s="448"/>
      <c r="H46" s="448"/>
      <c r="I46" s="448"/>
    </row>
    <row r="47" spans="1:9" ht="19.5" customHeight="1" thickBot="1">
      <c r="A47" s="13" t="s">
        <v>528</v>
      </c>
      <c r="B47" s="11"/>
      <c r="C47" s="14">
        <f>D47*B47*12/1000</f>
        <v>0</v>
      </c>
      <c r="D47" s="14">
        <v>2.4400000000000002E-2</v>
      </c>
      <c r="E47" s="11"/>
      <c r="F47" s="447"/>
      <c r="G47" s="448"/>
      <c r="H47" s="448"/>
      <c r="I47" s="448"/>
    </row>
    <row r="48" spans="1:9" ht="15" thickBot="1">
      <c r="A48" s="438" t="s">
        <v>529</v>
      </c>
      <c r="B48" s="439"/>
      <c r="C48" s="439"/>
      <c r="D48" s="439"/>
      <c r="E48" s="440"/>
      <c r="F48" s="447"/>
      <c r="G48" s="448"/>
      <c r="H48" s="448"/>
      <c r="I48" s="448"/>
    </row>
    <row r="49" spans="1:9" ht="58.5" customHeight="1" thickBot="1">
      <c r="A49" s="13" t="s">
        <v>530</v>
      </c>
      <c r="B49" s="11"/>
      <c r="C49" s="14">
        <f>D49*B49*12/1000</f>
        <v>0</v>
      </c>
      <c r="D49" s="14">
        <v>5.9999999999999995E-4</v>
      </c>
      <c r="E49" s="11"/>
      <c r="F49" s="447"/>
      <c r="G49" s="448"/>
      <c r="H49" s="448"/>
      <c r="I49" s="448"/>
    </row>
    <row r="50" spans="1:9" ht="15" thickBot="1">
      <c r="A50" s="438" t="s">
        <v>531</v>
      </c>
      <c r="B50" s="439"/>
      <c r="C50" s="439"/>
      <c r="D50" s="439"/>
      <c r="E50" s="440"/>
      <c r="F50" s="447"/>
      <c r="G50" s="448"/>
      <c r="H50" s="448"/>
      <c r="I50" s="448"/>
    </row>
    <row r="51" spans="1:9" ht="18" customHeight="1" thickBot="1">
      <c r="A51" s="13" t="s">
        <v>532</v>
      </c>
      <c r="B51" s="11"/>
      <c r="C51" s="14">
        <f>D51*B51*12/1000</f>
        <v>0</v>
      </c>
      <c r="D51" s="14">
        <v>4.4999999999999998E-2</v>
      </c>
      <c r="E51" s="35"/>
      <c r="F51" s="447"/>
      <c r="G51" s="448"/>
      <c r="H51" s="448"/>
      <c r="I51" s="448"/>
    </row>
    <row r="52" spans="1:9" ht="46.5" customHeight="1" thickBot="1">
      <c r="A52" s="13" t="s">
        <v>533</v>
      </c>
      <c r="B52" s="35"/>
      <c r="C52" s="14">
        <f t="shared" ref="C52:C63" si="2">D52*B52*12/1000</f>
        <v>0</v>
      </c>
      <c r="D52" s="14">
        <v>5.9999999999999995E-4</v>
      </c>
      <c r="E52" s="35"/>
      <c r="F52" s="447"/>
      <c r="G52" s="448"/>
      <c r="H52" s="448"/>
      <c r="I52" s="448"/>
    </row>
    <row r="53" spans="1:9" ht="17.25" customHeight="1" thickBot="1">
      <c r="A53" s="13" t="s">
        <v>534</v>
      </c>
      <c r="B53" s="11"/>
      <c r="C53" s="14">
        <f t="shared" si="2"/>
        <v>0</v>
      </c>
      <c r="D53" s="14">
        <v>1.23E-2</v>
      </c>
      <c r="E53" s="11"/>
      <c r="F53" s="447"/>
      <c r="G53" s="448"/>
      <c r="H53" s="448"/>
      <c r="I53" s="448"/>
    </row>
    <row r="54" spans="1:9" ht="32.25" customHeight="1" thickBot="1">
      <c r="A54" s="13" t="s">
        <v>535</v>
      </c>
      <c r="B54" s="11"/>
      <c r="C54" s="14">
        <f t="shared" si="2"/>
        <v>0</v>
      </c>
      <c r="D54" s="14">
        <v>1.1999999999999999E-3</v>
      </c>
      <c r="E54" s="11"/>
      <c r="F54" s="447"/>
      <c r="G54" s="448"/>
      <c r="H54" s="448"/>
      <c r="I54" s="448"/>
    </row>
    <row r="55" spans="1:9" ht="59.25" customHeight="1" thickBot="1">
      <c r="A55" s="13" t="s">
        <v>536</v>
      </c>
      <c r="B55" s="11"/>
      <c r="C55" s="14">
        <f t="shared" si="2"/>
        <v>0</v>
      </c>
      <c r="D55" s="14">
        <v>5.9999999999999995E-4</v>
      </c>
      <c r="E55" s="11"/>
      <c r="F55" s="447"/>
      <c r="G55" s="448"/>
      <c r="H55" s="448"/>
      <c r="I55" s="448"/>
    </row>
    <row r="56" spans="1:9" ht="29.25" customHeight="1" thickBot="1">
      <c r="A56" s="13" t="s">
        <v>537</v>
      </c>
      <c r="B56" s="11"/>
      <c r="C56" s="14">
        <f t="shared" si="2"/>
        <v>0</v>
      </c>
      <c r="D56" s="14">
        <v>3.2000000000000002E-3</v>
      </c>
      <c r="E56" s="11"/>
      <c r="F56" s="447"/>
      <c r="G56" s="448"/>
      <c r="H56" s="448"/>
      <c r="I56" s="448"/>
    </row>
    <row r="57" spans="1:9" ht="30.75" customHeight="1" thickBot="1">
      <c r="A57" s="13" t="s">
        <v>538</v>
      </c>
      <c r="B57" s="11"/>
      <c r="C57" s="14">
        <f t="shared" si="2"/>
        <v>0</v>
      </c>
      <c r="D57" s="14">
        <v>5.1000000000000004E-3</v>
      </c>
      <c r="E57" s="11"/>
      <c r="F57" s="447"/>
      <c r="G57" s="448"/>
      <c r="H57" s="448"/>
      <c r="I57" s="448"/>
    </row>
    <row r="58" spans="1:9" ht="30" customHeight="1" thickBot="1">
      <c r="A58" s="13" t="s">
        <v>539</v>
      </c>
      <c r="B58" s="11"/>
      <c r="C58" s="14">
        <f t="shared" si="2"/>
        <v>0</v>
      </c>
      <c r="D58" s="14">
        <v>1.9E-3</v>
      </c>
      <c r="E58" s="11"/>
      <c r="F58" s="447"/>
      <c r="G58" s="448"/>
      <c r="H58" s="448"/>
      <c r="I58" s="448"/>
    </row>
    <row r="59" spans="1:9" ht="30" customHeight="1" thickBot="1">
      <c r="A59" s="13" t="s">
        <v>0</v>
      </c>
      <c r="B59" s="11"/>
      <c r="C59" s="14">
        <f t="shared" si="2"/>
        <v>0</v>
      </c>
      <c r="D59" s="14">
        <v>6.4000000000000003E-3</v>
      </c>
      <c r="E59" s="11"/>
      <c r="F59" s="447"/>
      <c r="G59" s="448"/>
      <c r="H59" s="448"/>
      <c r="I59" s="448"/>
    </row>
    <row r="60" spans="1:9" ht="30.75" customHeight="1" thickBot="1">
      <c r="A60" s="13" t="s">
        <v>1</v>
      </c>
      <c r="B60" s="11"/>
      <c r="C60" s="14">
        <f t="shared" si="2"/>
        <v>0</v>
      </c>
      <c r="D60" s="14">
        <v>1.9E-3</v>
      </c>
      <c r="E60" s="11"/>
      <c r="F60" s="447"/>
      <c r="G60" s="448"/>
      <c r="H60" s="448"/>
      <c r="I60" s="448"/>
    </row>
    <row r="61" spans="1:9" ht="29.25" customHeight="1" thickBot="1">
      <c r="A61" s="13" t="s">
        <v>2</v>
      </c>
      <c r="B61" s="11"/>
      <c r="C61" s="14">
        <f>D61*B61*12/1000</f>
        <v>0</v>
      </c>
      <c r="D61" s="14">
        <v>1.9099999999999999E-2</v>
      </c>
      <c r="E61" s="11"/>
      <c r="F61" s="447"/>
      <c r="G61" s="448"/>
      <c r="H61" s="448"/>
      <c r="I61" s="448"/>
    </row>
    <row r="62" spans="1:9" ht="31.5" customHeight="1" thickBot="1">
      <c r="A62" s="13" t="s">
        <v>3</v>
      </c>
      <c r="B62" s="11"/>
      <c r="C62" s="14">
        <f t="shared" si="2"/>
        <v>0</v>
      </c>
      <c r="D62" s="14">
        <v>6.4000000000000003E-3</v>
      </c>
      <c r="E62" s="11"/>
      <c r="F62" s="447"/>
      <c r="G62" s="448"/>
      <c r="H62" s="448"/>
      <c r="I62" s="448"/>
    </row>
    <row r="63" spans="1:9" ht="31.5" customHeight="1" thickBot="1">
      <c r="A63" s="13" t="s">
        <v>4</v>
      </c>
      <c r="B63" s="11"/>
      <c r="C63" s="14">
        <f t="shared" si="2"/>
        <v>0</v>
      </c>
      <c r="D63" s="14">
        <v>5.9999999999999995E-4</v>
      </c>
      <c r="E63" s="11"/>
      <c r="F63" s="447"/>
      <c r="G63" s="448"/>
      <c r="H63" s="448"/>
      <c r="I63" s="448"/>
    </row>
    <row r="64" spans="1:9" ht="15" thickBot="1">
      <c r="A64" s="438" t="s">
        <v>5</v>
      </c>
      <c r="B64" s="439"/>
      <c r="C64" s="439"/>
      <c r="D64" s="439"/>
      <c r="E64" s="440"/>
      <c r="F64" s="447"/>
      <c r="G64" s="448"/>
      <c r="H64" s="448"/>
      <c r="I64" s="448"/>
    </row>
    <row r="65" spans="1:9" ht="30" customHeight="1" thickBot="1">
      <c r="A65" s="28" t="s">
        <v>6</v>
      </c>
      <c r="B65" s="20"/>
      <c r="C65" s="14">
        <f t="shared" ref="C65:C70" si="3">D65*B65*12/1000</f>
        <v>0</v>
      </c>
      <c r="D65" s="29">
        <v>0.1295</v>
      </c>
      <c r="E65" s="37"/>
      <c r="F65" s="447"/>
      <c r="G65" s="448"/>
      <c r="H65" s="448"/>
      <c r="I65" s="448"/>
    </row>
    <row r="66" spans="1:9" ht="31.5" customHeight="1" thickBot="1">
      <c r="A66" s="13" t="s">
        <v>7</v>
      </c>
      <c r="B66" s="11"/>
      <c r="C66" s="14">
        <f t="shared" si="3"/>
        <v>0</v>
      </c>
      <c r="D66" s="14">
        <v>3.8E-3</v>
      </c>
      <c r="E66" s="14"/>
      <c r="F66" s="447"/>
      <c r="G66" s="448"/>
      <c r="H66" s="448"/>
      <c r="I66" s="448"/>
    </row>
    <row r="67" spans="1:9" ht="33" customHeight="1" thickBot="1">
      <c r="A67" s="13" t="s">
        <v>8</v>
      </c>
      <c r="B67" s="11"/>
      <c r="C67" s="14">
        <f t="shared" si="3"/>
        <v>0</v>
      </c>
      <c r="D67" s="14">
        <v>0.1295</v>
      </c>
      <c r="E67" s="14"/>
      <c r="F67" s="447"/>
      <c r="G67" s="448"/>
      <c r="H67" s="448"/>
      <c r="I67" s="448"/>
    </row>
    <row r="68" spans="1:9" ht="30" customHeight="1" thickBot="1">
      <c r="A68" s="13" t="s">
        <v>9</v>
      </c>
      <c r="B68" s="11"/>
      <c r="C68" s="14">
        <f t="shared" si="3"/>
        <v>0</v>
      </c>
      <c r="D68" s="14">
        <v>6.4199999999999993E-2</v>
      </c>
      <c r="E68" s="14"/>
      <c r="F68" s="447"/>
      <c r="G68" s="448"/>
      <c r="H68" s="448"/>
      <c r="I68" s="448"/>
    </row>
    <row r="69" spans="1:9" ht="29.25" customHeight="1" thickBot="1">
      <c r="A69" s="13" t="s">
        <v>10</v>
      </c>
      <c r="B69" s="11"/>
      <c r="C69" s="14">
        <f t="shared" si="3"/>
        <v>0</v>
      </c>
      <c r="D69" s="14">
        <v>1.1999999999999999E-3</v>
      </c>
      <c r="E69" s="14"/>
      <c r="F69" s="447"/>
      <c r="G69" s="448"/>
      <c r="H69" s="448"/>
      <c r="I69" s="448"/>
    </row>
    <row r="70" spans="1:9" ht="29.25" customHeight="1" thickBot="1">
      <c r="A70" s="13" t="s">
        <v>11</v>
      </c>
      <c r="B70" s="11"/>
      <c r="C70" s="14">
        <f t="shared" si="3"/>
        <v>0</v>
      </c>
      <c r="D70" s="14">
        <v>2.5000000000000001E-3</v>
      </c>
      <c r="E70" s="14"/>
      <c r="F70" s="447"/>
      <c r="G70" s="448"/>
      <c r="H70" s="448"/>
      <c r="I70" s="448"/>
    </row>
    <row r="71" spans="1:9" ht="15" thickBot="1">
      <c r="A71" s="438" t="s">
        <v>12</v>
      </c>
      <c r="B71" s="439"/>
      <c r="C71" s="439"/>
      <c r="D71" s="439"/>
      <c r="E71" s="440"/>
      <c r="F71" s="447"/>
      <c r="G71" s="448"/>
      <c r="H71" s="448"/>
      <c r="I71" s="448"/>
    </row>
    <row r="72" spans="1:9" ht="31.5" customHeight="1" thickBot="1">
      <c r="A72" s="13" t="s">
        <v>13</v>
      </c>
      <c r="B72" s="11"/>
      <c r="C72" s="14">
        <f>D72*B72*12/1000</f>
        <v>0</v>
      </c>
      <c r="D72" s="14">
        <v>5.9999999999999995E-4</v>
      </c>
      <c r="E72" s="35"/>
      <c r="F72" s="447"/>
      <c r="G72" s="448"/>
      <c r="H72" s="448"/>
      <c r="I72" s="448"/>
    </row>
    <row r="73" spans="1:9" ht="15" customHeight="1" thickBot="1">
      <c r="A73" s="13" t="s">
        <v>14</v>
      </c>
      <c r="B73" s="11"/>
      <c r="C73" s="14">
        <f>D73*B73*12/1000</f>
        <v>0</v>
      </c>
      <c r="D73" s="14">
        <v>1.1999999999999999E-3</v>
      </c>
      <c r="E73" s="11"/>
      <c r="F73" s="447"/>
      <c r="G73" s="448"/>
      <c r="H73" s="448"/>
      <c r="I73" s="448"/>
    </row>
    <row r="74" spans="1:9" ht="28.5" customHeight="1" thickBot="1">
      <c r="A74" s="13" t="s">
        <v>15</v>
      </c>
      <c r="B74" s="11"/>
      <c r="C74" s="14">
        <f>D74*B74*12/1000</f>
        <v>0</v>
      </c>
      <c r="D74" s="14">
        <v>1.03E-2</v>
      </c>
      <c r="E74" s="11"/>
      <c r="F74" s="447"/>
      <c r="G74" s="448"/>
      <c r="H74" s="448"/>
      <c r="I74" s="448"/>
    </row>
    <row r="75" spans="1:9" ht="19.5" customHeight="1" thickBot="1">
      <c r="A75" s="13" t="s">
        <v>16</v>
      </c>
      <c r="B75" s="11"/>
      <c r="C75" s="14">
        <f>D75*B75*12/1000</f>
        <v>0</v>
      </c>
      <c r="D75" s="14">
        <v>1.9E-3</v>
      </c>
      <c r="E75" s="11"/>
      <c r="F75" s="447"/>
      <c r="G75" s="448"/>
      <c r="H75" s="448"/>
      <c r="I75" s="448"/>
    </row>
    <row r="76" spans="1:9" ht="15" thickBot="1">
      <c r="A76" s="438" t="s">
        <v>17</v>
      </c>
      <c r="B76" s="439"/>
      <c r="C76" s="439"/>
      <c r="D76" s="439"/>
      <c r="E76" s="440"/>
      <c r="F76" s="447"/>
      <c r="G76" s="448"/>
      <c r="H76" s="448"/>
      <c r="I76" s="448"/>
    </row>
    <row r="77" spans="1:9" ht="30.75" customHeight="1" thickBot="1">
      <c r="A77" s="13" t="s">
        <v>18</v>
      </c>
      <c r="B77" s="11"/>
      <c r="C77" s="14">
        <f>D77*B77*12/1000</f>
        <v>0</v>
      </c>
      <c r="D77" s="14">
        <v>1.1000000000000001E-3</v>
      </c>
      <c r="E77" s="35"/>
      <c r="F77" s="447"/>
      <c r="G77" s="448"/>
      <c r="H77" s="448"/>
      <c r="I77" s="448"/>
    </row>
    <row r="78" spans="1:9" ht="45" customHeight="1" thickBot="1">
      <c r="A78" s="13" t="s">
        <v>19</v>
      </c>
      <c r="B78" s="11"/>
      <c r="C78" s="14">
        <f>D78*B78*12/1000</f>
        <v>0</v>
      </c>
      <c r="D78" s="14">
        <v>2.8299999999999999E-2</v>
      </c>
      <c r="E78" s="11"/>
      <c r="F78" s="447"/>
      <c r="G78" s="448"/>
      <c r="H78" s="448"/>
      <c r="I78" s="448"/>
    </row>
    <row r="79" spans="1:9" ht="45" customHeight="1" thickBot="1">
      <c r="A79" s="13" t="s">
        <v>20</v>
      </c>
      <c r="B79" s="11"/>
      <c r="C79" s="14">
        <f>D79*B79*12/1000</f>
        <v>0</v>
      </c>
      <c r="D79" s="14">
        <v>8.3299999999999999E-2</v>
      </c>
      <c r="E79" s="11"/>
      <c r="F79" s="447"/>
      <c r="G79" s="448"/>
      <c r="H79" s="448"/>
      <c r="I79" s="448"/>
    </row>
    <row r="80" spans="1:9" ht="15" hidden="1" thickBot="1">
      <c r="A80" s="455" t="s">
        <v>21</v>
      </c>
      <c r="B80" s="456"/>
      <c r="C80" s="456"/>
      <c r="D80" s="456"/>
      <c r="E80" s="456"/>
      <c r="F80" s="457"/>
      <c r="G80" s="447"/>
      <c r="H80" s="448"/>
      <c r="I80" s="448"/>
    </row>
    <row r="81" spans="1:9" ht="30" hidden="1" customHeight="1" thickBot="1">
      <c r="A81" s="13" t="s">
        <v>22</v>
      </c>
      <c r="B81" s="11"/>
      <c r="C81" s="14"/>
      <c r="D81" s="14"/>
      <c r="E81" s="458"/>
      <c r="F81" s="459"/>
      <c r="G81" s="447"/>
      <c r="H81" s="448"/>
      <c r="I81" s="448"/>
    </row>
    <row r="82" spans="1:9" ht="30" hidden="1" customHeight="1" thickBot="1">
      <c r="A82" s="13" t="s">
        <v>23</v>
      </c>
      <c r="B82" s="11"/>
      <c r="C82" s="14"/>
      <c r="D82" s="14"/>
      <c r="E82" s="438"/>
      <c r="F82" s="440"/>
      <c r="G82" s="447"/>
      <c r="H82" s="448"/>
      <c r="I82" s="448"/>
    </row>
    <row r="83" spans="1:9" ht="28.5" hidden="1" customHeight="1" thickBot="1">
      <c r="A83" s="13" t="s">
        <v>24</v>
      </c>
      <c r="B83" s="11"/>
      <c r="C83" s="14"/>
      <c r="D83" s="14"/>
      <c r="E83" s="438"/>
      <c r="F83" s="440"/>
      <c r="G83" s="453"/>
      <c r="H83" s="454"/>
      <c r="I83" s="454"/>
    </row>
    <row r="84" spans="1:9" ht="15" thickBot="1">
      <c r="A84" s="438" t="s">
        <v>49</v>
      </c>
      <c r="B84" s="439"/>
      <c r="C84" s="439"/>
      <c r="D84" s="439"/>
      <c r="E84" s="440"/>
      <c r="F84" s="447"/>
      <c r="G84" s="448"/>
      <c r="H84" s="448"/>
      <c r="I84" s="448"/>
    </row>
    <row r="85" spans="1:9" ht="31.5" customHeight="1" thickBot="1">
      <c r="A85" s="13" t="s">
        <v>50</v>
      </c>
      <c r="B85" s="11"/>
      <c r="C85" s="14">
        <f>D85*B85*12/1000</f>
        <v>0</v>
      </c>
      <c r="D85" s="14">
        <v>3.3399999999999999E-2</v>
      </c>
      <c r="E85" s="35"/>
      <c r="F85" s="447"/>
      <c r="G85" s="448"/>
      <c r="H85" s="448"/>
      <c r="I85" s="448"/>
    </row>
    <row r="86" spans="1:9" ht="48" customHeight="1" thickBot="1">
      <c r="A86" s="13" t="s">
        <v>51</v>
      </c>
      <c r="B86" s="11"/>
      <c r="C86" s="14">
        <f>D86*B86*12/1000</f>
        <v>0</v>
      </c>
      <c r="D86" s="14">
        <v>2.5700000000000001E-2</v>
      </c>
      <c r="E86" s="11"/>
      <c r="F86" s="447"/>
      <c r="G86" s="448"/>
      <c r="H86" s="448"/>
      <c r="I86" s="448"/>
    </row>
    <row r="87" spans="1:9" ht="18" customHeight="1" thickBot="1">
      <c r="A87" s="13" t="s">
        <v>52</v>
      </c>
      <c r="B87" s="11"/>
      <c r="C87" s="14">
        <f>D87*B87*12/1000</f>
        <v>0</v>
      </c>
      <c r="D87" s="14">
        <v>0.161</v>
      </c>
      <c r="E87" s="11"/>
      <c r="F87" s="447"/>
      <c r="G87" s="448"/>
      <c r="H87" s="448"/>
      <c r="I87" s="448"/>
    </row>
    <row r="88" spans="1:9" ht="45.75" customHeight="1" thickBot="1">
      <c r="A88" s="13" t="s">
        <v>53</v>
      </c>
      <c r="B88" s="11"/>
      <c r="C88" s="14">
        <f>D88*B88*12/1000</f>
        <v>0</v>
      </c>
      <c r="D88" s="14">
        <v>7.7000000000000002E-3</v>
      </c>
      <c r="E88" s="11"/>
      <c r="F88" s="447"/>
      <c r="G88" s="448"/>
      <c r="H88" s="448"/>
      <c r="I88" s="448"/>
    </row>
    <row r="89" spans="1:9" ht="46.5" customHeight="1" thickBot="1">
      <c r="A89" s="13" t="s">
        <v>54</v>
      </c>
      <c r="B89" s="11"/>
      <c r="C89" s="14">
        <f>D89*B89*12/1000</f>
        <v>0</v>
      </c>
      <c r="D89" s="14">
        <v>1.9300000000000001E-2</v>
      </c>
      <c r="E89" s="11"/>
      <c r="F89" s="447"/>
      <c r="G89" s="448"/>
      <c r="H89" s="448"/>
      <c r="I89" s="448"/>
    </row>
    <row r="90" spans="1:9" ht="15" hidden="1" thickBot="1">
      <c r="A90" s="438" t="s">
        <v>55</v>
      </c>
      <c r="B90" s="439"/>
      <c r="C90" s="439"/>
      <c r="D90" s="439"/>
      <c r="E90" s="440"/>
      <c r="F90" s="447"/>
      <c r="G90" s="448"/>
      <c r="H90" s="448"/>
      <c r="I90" s="448"/>
    </row>
    <row r="91" spans="1:9" ht="29.25" hidden="1" customHeight="1" thickBot="1">
      <c r="A91" s="13" t="s">
        <v>56</v>
      </c>
      <c r="B91" s="11"/>
      <c r="C91" s="14"/>
      <c r="D91" s="14"/>
      <c r="E91" s="35"/>
      <c r="F91" s="447"/>
      <c r="G91" s="448"/>
      <c r="H91" s="448"/>
      <c r="I91" s="448"/>
    </row>
    <row r="92" spans="1:9" ht="28.5" hidden="1" customHeight="1" thickBot="1">
      <c r="A92" s="13" t="s">
        <v>57</v>
      </c>
      <c r="B92" s="11"/>
      <c r="C92" s="14"/>
      <c r="D92" s="14"/>
      <c r="E92" s="11"/>
      <c r="F92" s="447"/>
      <c r="G92" s="448"/>
      <c r="H92" s="448"/>
      <c r="I92" s="448"/>
    </row>
    <row r="93" spans="1:9" ht="45.75" hidden="1" customHeight="1" thickBot="1">
      <c r="A93" s="13" t="s">
        <v>69</v>
      </c>
      <c r="B93" s="11"/>
      <c r="C93" s="14"/>
      <c r="D93" s="14"/>
      <c r="E93" s="11"/>
      <c r="F93" s="447"/>
      <c r="G93" s="448"/>
      <c r="H93" s="448"/>
      <c r="I93" s="448"/>
    </row>
    <row r="94" spans="1:9" ht="15" thickBot="1">
      <c r="A94" s="438" t="s">
        <v>59</v>
      </c>
      <c r="B94" s="439"/>
      <c r="C94" s="439"/>
      <c r="D94" s="439"/>
      <c r="E94" s="440"/>
      <c r="F94" s="447"/>
      <c r="G94" s="448"/>
      <c r="H94" s="448"/>
      <c r="I94" s="448"/>
    </row>
    <row r="95" spans="1:9" ht="15.75" customHeight="1" thickBot="1">
      <c r="A95" s="13" t="s">
        <v>61</v>
      </c>
      <c r="B95" s="35"/>
      <c r="C95" s="14">
        <f>D95*B95*12/1000</f>
        <v>0</v>
      </c>
      <c r="D95" s="14">
        <v>5.74E-2</v>
      </c>
      <c r="E95" s="35"/>
      <c r="F95" s="447"/>
      <c r="G95" s="448"/>
      <c r="H95" s="448"/>
      <c r="I95" s="448"/>
    </row>
    <row r="96" spans="1:9" ht="15.75" thickBot="1">
      <c r="A96" s="13" t="s">
        <v>63</v>
      </c>
      <c r="B96" s="11"/>
      <c r="C96" s="14">
        <f>D96*B96*12/1000</f>
        <v>0</v>
      </c>
      <c r="D96" s="14">
        <v>0.12</v>
      </c>
      <c r="E96" s="11"/>
      <c r="F96" s="447"/>
      <c r="G96" s="448"/>
      <c r="H96" s="448"/>
      <c r="I96" s="448"/>
    </row>
    <row r="97" spans="1:9" ht="15.75" thickBot="1">
      <c r="A97" s="13" t="s">
        <v>64</v>
      </c>
      <c r="B97" s="11"/>
      <c r="C97" s="14">
        <f>D97*B97*12/1000</f>
        <v>0</v>
      </c>
      <c r="D97" s="14">
        <v>0.32</v>
      </c>
      <c r="E97" s="11"/>
      <c r="F97" s="447"/>
      <c r="G97" s="448"/>
      <c r="H97" s="448"/>
      <c r="I97" s="448"/>
    </row>
    <row r="98" spans="1:9" ht="15" thickBot="1">
      <c r="A98" s="22" t="s">
        <v>65</v>
      </c>
      <c r="B98" s="11"/>
      <c r="C98" s="11">
        <f>C12+C14+C15+C16+C17+C18+C19+C21+C22+C24+C25+C26+C27+C29+C30+C31+C32+C33+C34+C35+C36+C37+C39+C40+C41+C42+C44+C45+C46+C47+C49+C51+C52+C53+C54+C55+C56+C57+C58+C59+C60+C61+C62+C63+C65+C66+C67+C68+C69+C70+C72+C73+C74+C77+C78+C79+C85+C86+C87+C88+C89+C91+C92+C93+C95+C96+C97</f>
        <v>0</v>
      </c>
      <c r="D98" s="33">
        <f>D12+D14+D15+D16+D17+D18+D19+D21+D22+D24+D25+D26+D27+D29+D30+D31+D32+D33+D34+D35+D36+D37+D39+D40+D41+D42+D44+D45+D46+D47+D49+D51+D52+D53+D54+D55+D56+D57+D58+D59+D60+D61+D62+D63+D65+D66+D67+D68+D69+D70+D72+D73+D74+D77+D78+D79+D85+D86+D87+D88+D89+D91+D92+D93+D95+D96+D97</f>
        <v>2.3605999999999994</v>
      </c>
      <c r="E98" s="11"/>
      <c r="F98" s="447"/>
      <c r="G98" s="448"/>
      <c r="H98" s="448"/>
      <c r="I98" s="448"/>
    </row>
    <row r="99" spans="1:9" ht="27" customHeight="1">
      <c r="A99" s="449" t="s">
        <v>66</v>
      </c>
      <c r="B99" s="441"/>
      <c r="C99" s="451">
        <f>C98+небл.ж1!C25</f>
        <v>0</v>
      </c>
      <c r="D99" s="451">
        <f>D98+небл.ж1!D25</f>
        <v>2.7232999999999992</v>
      </c>
      <c r="E99" s="441"/>
      <c r="F99" s="447"/>
      <c r="G99" s="448"/>
      <c r="H99" s="448"/>
      <c r="I99" s="448"/>
    </row>
    <row r="100" spans="1:9" ht="13.5" customHeight="1" thickBot="1">
      <c r="A100" s="450"/>
      <c r="B100" s="443"/>
      <c r="C100" s="452"/>
      <c r="D100" s="452"/>
      <c r="E100" s="443"/>
      <c r="F100" s="447"/>
      <c r="G100" s="448"/>
      <c r="H100" s="448"/>
      <c r="I100" s="448"/>
    </row>
    <row r="101" spans="1:9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4.25">
      <c r="A102" s="25"/>
    </row>
    <row r="103" spans="1:9" ht="15">
      <c r="A103" s="38" t="s">
        <v>67</v>
      </c>
    </row>
    <row r="104" spans="1:9" ht="15">
      <c r="A104" s="38"/>
    </row>
    <row r="105" spans="1:9" ht="15">
      <c r="A105" s="38"/>
    </row>
    <row r="106" spans="1:9">
      <c r="A106" s="2"/>
    </row>
    <row r="107" spans="1:9">
      <c r="A107" s="2"/>
    </row>
    <row r="108" spans="1:9">
      <c r="A108" s="39"/>
    </row>
  </sheetData>
  <mergeCells count="124">
    <mergeCell ref="F8:I9"/>
    <mergeCell ref="F10:I10"/>
    <mergeCell ref="A11:E11"/>
    <mergeCell ref="F11:I11"/>
    <mergeCell ref="A8:A10"/>
    <mergeCell ref="B8:B10"/>
    <mergeCell ref="D8:D9"/>
    <mergeCell ref="E8:E10"/>
    <mergeCell ref="A12:A13"/>
    <mergeCell ref="B12:B13"/>
    <mergeCell ref="C12:C13"/>
    <mergeCell ref="D12:D13"/>
    <mergeCell ref="E12:E13"/>
    <mergeCell ref="F12:I13"/>
    <mergeCell ref="F14:I14"/>
    <mergeCell ref="F15:I15"/>
    <mergeCell ref="F16:I16"/>
    <mergeCell ref="F17:I17"/>
    <mergeCell ref="F18:I18"/>
    <mergeCell ref="F19:I19"/>
    <mergeCell ref="A20:E20"/>
    <mergeCell ref="F20:I20"/>
    <mergeCell ref="F21:I21"/>
    <mergeCell ref="B22:B23"/>
    <mergeCell ref="C22:C23"/>
    <mergeCell ref="D22:D23"/>
    <mergeCell ref="E22:E23"/>
    <mergeCell ref="F22:I23"/>
    <mergeCell ref="F24:I24"/>
    <mergeCell ref="F25:I25"/>
    <mergeCell ref="F26:I26"/>
    <mergeCell ref="F27:I27"/>
    <mergeCell ref="A28:E28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A38:E38"/>
    <mergeCell ref="F38:I38"/>
    <mergeCell ref="F39:I39"/>
    <mergeCell ref="F40:I40"/>
    <mergeCell ref="F41:I41"/>
    <mergeCell ref="F42:I42"/>
    <mergeCell ref="A43:E43"/>
    <mergeCell ref="F43:I43"/>
    <mergeCell ref="F44:I44"/>
    <mergeCell ref="F45:I45"/>
    <mergeCell ref="F46:I46"/>
    <mergeCell ref="F47:I47"/>
    <mergeCell ref="A48:E48"/>
    <mergeCell ref="F48:I48"/>
    <mergeCell ref="F49:I49"/>
    <mergeCell ref="A50:E50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A64:E64"/>
    <mergeCell ref="F64:I64"/>
    <mergeCell ref="F65:I65"/>
    <mergeCell ref="F66:I66"/>
    <mergeCell ref="F67:I67"/>
    <mergeCell ref="F68:I68"/>
    <mergeCell ref="F69:I69"/>
    <mergeCell ref="F70:I70"/>
    <mergeCell ref="A71:E71"/>
    <mergeCell ref="F71:I71"/>
    <mergeCell ref="F72:I72"/>
    <mergeCell ref="F73:I73"/>
    <mergeCell ref="F74:I74"/>
    <mergeCell ref="F75:I75"/>
    <mergeCell ref="A76:E76"/>
    <mergeCell ref="F76:I76"/>
    <mergeCell ref="F77:I77"/>
    <mergeCell ref="F78:I78"/>
    <mergeCell ref="F79:I79"/>
    <mergeCell ref="A80:F80"/>
    <mergeCell ref="G80:I80"/>
    <mergeCell ref="E81:F81"/>
    <mergeCell ref="G81:I81"/>
    <mergeCell ref="E82:F82"/>
    <mergeCell ref="G82:I82"/>
    <mergeCell ref="E83:F83"/>
    <mergeCell ref="G83:I83"/>
    <mergeCell ref="A84:E84"/>
    <mergeCell ref="F84:I84"/>
    <mergeCell ref="F85:I85"/>
    <mergeCell ref="F86:I86"/>
    <mergeCell ref="F87:I87"/>
    <mergeCell ref="F88:I88"/>
    <mergeCell ref="F89:I89"/>
    <mergeCell ref="A90:E90"/>
    <mergeCell ref="F90:I90"/>
    <mergeCell ref="F91:I91"/>
    <mergeCell ref="F92:I92"/>
    <mergeCell ref="F93:I93"/>
    <mergeCell ref="A94:E94"/>
    <mergeCell ref="F94:I94"/>
    <mergeCell ref="F95:I95"/>
    <mergeCell ref="F96:I96"/>
    <mergeCell ref="F97:I97"/>
    <mergeCell ref="F98:I98"/>
    <mergeCell ref="E99:E100"/>
    <mergeCell ref="F99:I100"/>
    <mergeCell ref="A99:A100"/>
    <mergeCell ref="B99:B100"/>
    <mergeCell ref="C99:C100"/>
    <mergeCell ref="D99:D10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F98"/>
  <sheetViews>
    <sheetView topLeftCell="A85" workbookViewId="0">
      <selection activeCell="C15" sqref="C15"/>
    </sheetView>
  </sheetViews>
  <sheetFormatPr defaultRowHeight="12.75"/>
  <cols>
    <col min="1" max="1" width="33.42578125" customWidth="1"/>
    <col min="2" max="2" width="12.5703125" customWidth="1"/>
    <col min="3" max="3" width="15.28515625" customWidth="1"/>
    <col min="4" max="4" width="12.7109375" customWidth="1"/>
    <col min="5" max="5" width="15.28515625" customWidth="1"/>
    <col min="6" max="6" width="0.42578125" customWidth="1"/>
  </cols>
  <sheetData>
    <row r="1" spans="1:6" ht="15.75">
      <c r="A1" s="1"/>
    </row>
    <row r="2" spans="1:6" ht="15.75">
      <c r="A2" s="1" t="s">
        <v>434</v>
      </c>
    </row>
    <row r="3" spans="1:6" ht="15.75">
      <c r="A3" s="1" t="s">
        <v>480</v>
      </c>
    </row>
    <row r="4" spans="1:6" ht="15.75">
      <c r="A4" s="1" t="s">
        <v>481</v>
      </c>
    </row>
    <row r="5" spans="1:6" ht="15.75">
      <c r="A5" s="1" t="s">
        <v>482</v>
      </c>
    </row>
    <row r="6" spans="1:6" ht="15.75">
      <c r="A6" s="1"/>
    </row>
    <row r="7" spans="1:6" ht="15.75">
      <c r="A7" s="1" t="s">
        <v>483</v>
      </c>
    </row>
    <row r="8" spans="1:6" ht="15" thickBot="1">
      <c r="A8" s="25"/>
    </row>
    <row r="9" spans="1:6" ht="64.5" customHeight="1">
      <c r="A9" s="441" t="s">
        <v>484</v>
      </c>
      <c r="B9" s="441" t="s">
        <v>485</v>
      </c>
      <c r="C9" s="7" t="s">
        <v>486</v>
      </c>
      <c r="D9" s="441" t="s">
        <v>489</v>
      </c>
      <c r="E9" s="441" t="s">
        <v>458</v>
      </c>
      <c r="F9" s="447"/>
    </row>
    <row r="10" spans="1:6" ht="29.25" thickBot="1">
      <c r="A10" s="442"/>
      <c r="B10" s="442"/>
      <c r="C10" s="8" t="s">
        <v>487</v>
      </c>
      <c r="D10" s="443"/>
      <c r="E10" s="442"/>
      <c r="F10" s="447"/>
    </row>
    <row r="11" spans="1:6" ht="45" customHeight="1" thickBot="1">
      <c r="A11" s="443"/>
      <c r="B11" s="443"/>
      <c r="C11" s="11" t="s">
        <v>488</v>
      </c>
      <c r="D11" s="11" t="s">
        <v>68</v>
      </c>
      <c r="E11" s="443"/>
      <c r="F11" s="26"/>
    </row>
    <row r="12" spans="1:6" ht="15" thickBot="1">
      <c r="A12" s="438" t="s">
        <v>490</v>
      </c>
      <c r="B12" s="439"/>
      <c r="C12" s="439"/>
      <c r="D12" s="439"/>
      <c r="E12" s="440"/>
      <c r="F12" s="26"/>
    </row>
    <row r="13" spans="1:6" ht="15" customHeight="1">
      <c r="A13" s="464" t="s">
        <v>491</v>
      </c>
      <c r="B13" s="466"/>
      <c r="C13" s="462">
        <f>D13*B13*12/1000</f>
        <v>0</v>
      </c>
      <c r="D13" s="462">
        <v>0.12479999999999999</v>
      </c>
      <c r="E13" s="466"/>
      <c r="F13" s="447"/>
    </row>
    <row r="14" spans="1:6" ht="13.5" customHeight="1" thickBot="1">
      <c r="A14" s="465"/>
      <c r="B14" s="467"/>
      <c r="C14" s="463"/>
      <c r="D14" s="463"/>
      <c r="E14" s="467"/>
      <c r="F14" s="447"/>
    </row>
    <row r="15" spans="1:6" ht="45.75" customHeight="1" thickBot="1">
      <c r="A15" s="13" t="s">
        <v>492</v>
      </c>
      <c r="B15" s="19"/>
      <c r="C15" s="14">
        <f>D15*B15*12/1000</f>
        <v>0</v>
      </c>
      <c r="D15" s="14">
        <v>0.31159999999999999</v>
      </c>
      <c r="E15" s="19"/>
      <c r="F15" s="26"/>
    </row>
    <row r="16" spans="1:6" ht="29.25" customHeight="1" thickBot="1">
      <c r="A16" s="13" t="s">
        <v>493</v>
      </c>
      <c r="B16" s="19"/>
      <c r="C16" s="14">
        <f>D16*B16*12/1000</f>
        <v>0</v>
      </c>
      <c r="D16" s="14">
        <v>1E-3</v>
      </c>
      <c r="E16" s="19"/>
      <c r="F16" s="26"/>
    </row>
    <row r="17" spans="1:6" ht="15.75" customHeight="1" thickBot="1">
      <c r="A17" s="13" t="s">
        <v>494</v>
      </c>
      <c r="B17" s="19"/>
      <c r="C17" s="14">
        <f>D17*B17*12/1000</f>
        <v>0</v>
      </c>
      <c r="D17" s="14">
        <v>2E-3</v>
      </c>
      <c r="E17" s="19"/>
      <c r="F17" s="26"/>
    </row>
    <row r="18" spans="1:6" ht="8.25" customHeight="1">
      <c r="A18" s="464" t="s">
        <v>495</v>
      </c>
      <c r="B18" s="466"/>
      <c r="C18" s="462">
        <f>D18*B18*12/1000</f>
        <v>0</v>
      </c>
      <c r="D18" s="462">
        <v>0.02</v>
      </c>
      <c r="E18" s="466"/>
      <c r="F18" s="447"/>
    </row>
    <row r="19" spans="1:6" ht="13.5" customHeight="1" thickBot="1">
      <c r="A19" s="465"/>
      <c r="B19" s="467"/>
      <c r="C19" s="463"/>
      <c r="D19" s="463"/>
      <c r="E19" s="467"/>
      <c r="F19" s="447"/>
    </row>
    <row r="20" spans="1:6" ht="30.75" thickBot="1">
      <c r="A20" s="13" t="s">
        <v>496</v>
      </c>
      <c r="B20" s="19"/>
      <c r="C20" s="14">
        <f>D20*B20*12/1000</f>
        <v>0</v>
      </c>
      <c r="D20" s="14">
        <v>1.37E-2</v>
      </c>
      <c r="E20" s="19"/>
      <c r="F20" s="26"/>
    </row>
    <row r="21" spans="1:6" ht="62.25" customHeight="1" thickBot="1">
      <c r="A21" s="13" t="s">
        <v>497</v>
      </c>
      <c r="B21" s="19"/>
      <c r="C21" s="14">
        <f>D21*B21*12/1000</f>
        <v>0</v>
      </c>
      <c r="D21" s="14">
        <v>5.0000000000000001E-3</v>
      </c>
      <c r="E21" s="19"/>
      <c r="F21" s="26"/>
    </row>
    <row r="22" spans="1:6" ht="17.25" customHeight="1" thickBot="1">
      <c r="A22" s="438" t="s">
        <v>498</v>
      </c>
      <c r="B22" s="439"/>
      <c r="C22" s="439"/>
      <c r="D22" s="439"/>
      <c r="E22" s="440"/>
      <c r="F22" s="26"/>
    </row>
    <row r="23" spans="1:6" ht="45.75" thickBot="1">
      <c r="A23" s="13" t="s">
        <v>499</v>
      </c>
      <c r="B23" s="11"/>
      <c r="C23" s="14">
        <f>D23*B23*12/1000</f>
        <v>0</v>
      </c>
      <c r="D23" s="14">
        <v>5.0000000000000001E-3</v>
      </c>
      <c r="E23" s="11"/>
      <c r="F23" s="26"/>
    </row>
    <row r="24" spans="1:6" ht="16.5" customHeight="1">
      <c r="A24" s="17" t="s">
        <v>500</v>
      </c>
      <c r="B24" s="441"/>
      <c r="C24" s="462">
        <f>D24*B24*12/1000</f>
        <v>0</v>
      </c>
      <c r="D24" s="462">
        <v>5.0000000000000001E-3</v>
      </c>
      <c r="E24" s="441"/>
      <c r="F24" s="447"/>
    </row>
    <row r="25" spans="1:6" ht="15" customHeight="1" thickBot="1">
      <c r="A25" s="15" t="s">
        <v>501</v>
      </c>
      <c r="B25" s="443"/>
      <c r="C25" s="463"/>
      <c r="D25" s="463"/>
      <c r="E25" s="443"/>
      <c r="F25" s="447"/>
    </row>
    <row r="26" spans="1:6" ht="45.75" thickBot="1">
      <c r="A26" s="13" t="s">
        <v>502</v>
      </c>
      <c r="B26" s="11"/>
      <c r="C26" s="14">
        <f>D26*B26*12/1000</f>
        <v>0</v>
      </c>
      <c r="D26" s="14">
        <v>2.58E-2</v>
      </c>
      <c r="E26" s="11"/>
      <c r="F26" s="26"/>
    </row>
    <row r="27" spans="1:6" ht="45.75" customHeight="1" thickBot="1">
      <c r="A27" s="13" t="s">
        <v>503</v>
      </c>
      <c r="B27" s="11"/>
      <c r="C27" s="14">
        <f t="shared" ref="C27:C44" si="0">D27*B27*12/1000</f>
        <v>0</v>
      </c>
      <c r="D27" s="14">
        <v>0.17</v>
      </c>
      <c r="E27" s="11"/>
      <c r="F27" s="26"/>
    </row>
    <row r="28" spans="1:6" ht="75.75" thickBot="1">
      <c r="A28" s="13" t="s">
        <v>506</v>
      </c>
      <c r="B28" s="11"/>
      <c r="C28" s="14">
        <f t="shared" si="0"/>
        <v>0</v>
      </c>
      <c r="D28" s="14">
        <v>2E-3</v>
      </c>
      <c r="E28" s="11"/>
      <c r="F28" s="26"/>
    </row>
    <row r="29" spans="1:6" ht="30.75" thickBot="1">
      <c r="A29" s="13" t="s">
        <v>507</v>
      </c>
      <c r="B29" s="11"/>
      <c r="C29" s="14">
        <f t="shared" si="0"/>
        <v>0</v>
      </c>
      <c r="D29" s="14">
        <v>0.53649999999999998</v>
      </c>
      <c r="E29" s="11"/>
      <c r="F29" s="26"/>
    </row>
    <row r="30" spans="1:6" ht="15" thickBot="1">
      <c r="A30" s="438" t="s">
        <v>508</v>
      </c>
      <c r="B30" s="439"/>
      <c r="C30" s="439"/>
      <c r="D30" s="439"/>
      <c r="E30" s="440"/>
      <c r="F30" s="26"/>
    </row>
    <row r="31" spans="1:6" ht="30" customHeight="1" thickBot="1">
      <c r="A31" s="13" t="s">
        <v>509</v>
      </c>
      <c r="B31" s="11"/>
      <c r="C31" s="14">
        <f t="shared" si="0"/>
        <v>0</v>
      </c>
      <c r="D31" s="14">
        <v>1E-3</v>
      </c>
      <c r="E31" s="14"/>
      <c r="F31" s="26"/>
    </row>
    <row r="32" spans="1:6" ht="30.75" thickBot="1">
      <c r="A32" s="13" t="s">
        <v>511</v>
      </c>
      <c r="B32" s="11"/>
      <c r="C32" s="14">
        <f t="shared" si="0"/>
        <v>0</v>
      </c>
      <c r="D32" s="14">
        <v>2E-3</v>
      </c>
      <c r="E32" s="14"/>
      <c r="F32" s="26"/>
    </row>
    <row r="33" spans="1:6" ht="32.25" customHeight="1" thickBot="1">
      <c r="A33" s="13" t="s">
        <v>512</v>
      </c>
      <c r="B33" s="11"/>
      <c r="C33" s="14">
        <f t="shared" si="0"/>
        <v>0</v>
      </c>
      <c r="D33" s="14">
        <v>7.2700000000000001E-2</v>
      </c>
      <c r="E33" s="14"/>
      <c r="F33" s="26"/>
    </row>
    <row r="34" spans="1:6" ht="60.75" customHeight="1" thickBot="1">
      <c r="A34" s="13" t="s">
        <v>513</v>
      </c>
      <c r="B34" s="11"/>
      <c r="C34" s="14">
        <f t="shared" si="0"/>
        <v>0</v>
      </c>
      <c r="D34" s="14">
        <v>1.03E-2</v>
      </c>
      <c r="E34" s="14"/>
      <c r="F34" s="26"/>
    </row>
    <row r="35" spans="1:6" ht="90" customHeight="1" thickBot="1">
      <c r="A35" s="13" t="s">
        <v>514</v>
      </c>
      <c r="B35" s="11"/>
      <c r="C35" s="14">
        <f t="shared" si="0"/>
        <v>0</v>
      </c>
      <c r="D35" s="14">
        <v>9.1999999999999998E-3</v>
      </c>
      <c r="E35" s="14"/>
      <c r="F35" s="26"/>
    </row>
    <row r="36" spans="1:6" ht="44.25" customHeight="1" thickBot="1">
      <c r="A36" s="13" t="s">
        <v>515</v>
      </c>
      <c r="B36" s="11"/>
      <c r="C36" s="14">
        <f t="shared" si="0"/>
        <v>0</v>
      </c>
      <c r="D36" s="14">
        <v>5.1000000000000004E-3</v>
      </c>
      <c r="E36" s="14"/>
      <c r="F36" s="26"/>
    </row>
    <row r="37" spans="1:6" ht="63" customHeight="1" thickBot="1">
      <c r="A37" s="13" t="s">
        <v>516</v>
      </c>
      <c r="B37" s="11"/>
      <c r="C37" s="14">
        <f t="shared" si="0"/>
        <v>0</v>
      </c>
      <c r="D37" s="14">
        <v>2E-3</v>
      </c>
      <c r="E37" s="14"/>
      <c r="F37" s="26"/>
    </row>
    <row r="38" spans="1:6" ht="33" customHeight="1" thickBot="1">
      <c r="A38" s="13" t="s">
        <v>517</v>
      </c>
      <c r="B38" s="11"/>
      <c r="C38" s="14">
        <f t="shared" si="0"/>
        <v>0</v>
      </c>
      <c r="D38" s="14">
        <v>0.2288</v>
      </c>
      <c r="E38" s="14"/>
      <c r="F38" s="26"/>
    </row>
    <row r="39" spans="1:6" ht="15" thickBot="1">
      <c r="A39" s="438" t="s">
        <v>518</v>
      </c>
      <c r="B39" s="439"/>
      <c r="C39" s="439"/>
      <c r="D39" s="439"/>
      <c r="E39" s="440"/>
      <c r="F39" s="26"/>
    </row>
    <row r="40" spans="1:6" ht="29.25" customHeight="1" thickBot="1">
      <c r="A40" s="13" t="s">
        <v>519</v>
      </c>
      <c r="B40" s="11"/>
      <c r="C40" s="14">
        <f t="shared" si="0"/>
        <v>0</v>
      </c>
      <c r="D40" s="14">
        <v>4.1000000000000003E-3</v>
      </c>
      <c r="E40" s="11"/>
      <c r="F40" s="26"/>
    </row>
    <row r="41" spans="1:6" ht="50.25" customHeight="1" thickBot="1">
      <c r="A41" s="13" t="s">
        <v>520</v>
      </c>
      <c r="B41" s="11"/>
      <c r="C41" s="14">
        <f t="shared" si="0"/>
        <v>0</v>
      </c>
      <c r="D41" s="14">
        <v>2.06E-2</v>
      </c>
      <c r="E41" s="11"/>
      <c r="F41" s="26"/>
    </row>
    <row r="42" spans="1:6" ht="63" customHeight="1" thickBot="1">
      <c r="A42" s="13" t="s">
        <v>521</v>
      </c>
      <c r="B42" s="11"/>
      <c r="C42" s="14">
        <f t="shared" si="0"/>
        <v>0</v>
      </c>
      <c r="D42" s="14">
        <v>2.06E-2</v>
      </c>
      <c r="E42" s="11"/>
      <c r="F42" s="26"/>
    </row>
    <row r="43" spans="1:6" ht="18" customHeight="1" thickBot="1">
      <c r="A43" s="13" t="s">
        <v>522</v>
      </c>
      <c r="B43" s="11"/>
      <c r="C43" s="14">
        <f t="shared" si="0"/>
        <v>0</v>
      </c>
      <c r="D43" s="14">
        <v>2.06E-2</v>
      </c>
      <c r="E43" s="11"/>
      <c r="F43" s="26"/>
    </row>
    <row r="44" spans="1:6" ht="75" customHeight="1" thickBot="1">
      <c r="A44" s="13" t="s">
        <v>523</v>
      </c>
      <c r="B44" s="11"/>
      <c r="C44" s="14">
        <f t="shared" si="0"/>
        <v>0</v>
      </c>
      <c r="D44" s="14">
        <v>7.1999999999999998E-3</v>
      </c>
      <c r="E44" s="11"/>
      <c r="F44" s="26"/>
    </row>
    <row r="45" spans="1:6" ht="15" thickBot="1">
      <c r="A45" s="438" t="s">
        <v>524</v>
      </c>
      <c r="B45" s="439"/>
      <c r="C45" s="439"/>
      <c r="D45" s="439"/>
      <c r="E45" s="440"/>
      <c r="F45" s="26"/>
    </row>
    <row r="46" spans="1:6" ht="48" customHeight="1" thickBot="1">
      <c r="A46" s="13" t="s">
        <v>525</v>
      </c>
      <c r="B46" s="11"/>
      <c r="C46" s="14">
        <f>D46*B46*12/1000</f>
        <v>0</v>
      </c>
      <c r="D46" s="14">
        <v>1E-3</v>
      </c>
      <c r="E46" s="11"/>
      <c r="F46" s="26"/>
    </row>
    <row r="47" spans="1:6" ht="32.25" customHeight="1" thickBot="1">
      <c r="A47" s="13" t="s">
        <v>526</v>
      </c>
      <c r="B47" s="11"/>
      <c r="C47" s="14">
        <f>D47*B47*12/1000</f>
        <v>0</v>
      </c>
      <c r="D47" s="14">
        <v>2.7E-2</v>
      </c>
      <c r="E47" s="11"/>
      <c r="F47" s="26"/>
    </row>
    <row r="48" spans="1:6" ht="18" customHeight="1" thickBot="1">
      <c r="A48" s="13" t="s">
        <v>527</v>
      </c>
      <c r="B48" s="11"/>
      <c r="C48" s="14">
        <f>D48*B48*12/1000</f>
        <v>0</v>
      </c>
      <c r="D48" s="14">
        <v>5.1000000000000004E-3</v>
      </c>
      <c r="E48" s="11"/>
      <c r="F48" s="26"/>
    </row>
    <row r="49" spans="1:6" ht="18" customHeight="1" thickBot="1">
      <c r="A49" s="13" t="s">
        <v>528</v>
      </c>
      <c r="B49" s="11"/>
      <c r="C49" s="14">
        <f>D49*B49*12/1000</f>
        <v>0</v>
      </c>
      <c r="D49" s="14">
        <v>3.9399999999999998E-2</v>
      </c>
      <c r="E49" s="11"/>
      <c r="F49" s="26"/>
    </row>
    <row r="50" spans="1:6" ht="15" thickBot="1">
      <c r="A50" s="438" t="s">
        <v>529</v>
      </c>
      <c r="B50" s="439"/>
      <c r="C50" s="439"/>
      <c r="D50" s="439"/>
      <c r="E50" s="440"/>
      <c r="F50" s="26"/>
    </row>
    <row r="51" spans="1:6" ht="61.5" customHeight="1" thickBot="1">
      <c r="A51" s="13" t="s">
        <v>530</v>
      </c>
      <c r="B51" s="11"/>
      <c r="C51" s="14">
        <f>D51*B51*12/1000</f>
        <v>0</v>
      </c>
      <c r="D51" s="14">
        <v>1E-3</v>
      </c>
      <c r="E51" s="11"/>
      <c r="F51" s="26"/>
    </row>
    <row r="52" spans="1:6" ht="15" thickBot="1">
      <c r="A52" s="438" t="s">
        <v>531</v>
      </c>
      <c r="B52" s="439"/>
      <c r="C52" s="439"/>
      <c r="D52" s="439"/>
      <c r="E52" s="440"/>
      <c r="F52" s="26"/>
    </row>
    <row r="53" spans="1:6" ht="18" customHeight="1" thickBot="1">
      <c r="A53" s="13" t="s">
        <v>532</v>
      </c>
      <c r="B53" s="11"/>
      <c r="C53" s="14">
        <f t="shared" ref="C53:C62" si="1">D53*B53*12/1000</f>
        <v>0</v>
      </c>
      <c r="D53" s="14">
        <v>7.2700000000000001E-2</v>
      </c>
      <c r="E53" s="11"/>
      <c r="F53" s="26"/>
    </row>
    <row r="54" spans="1:6" ht="46.5" customHeight="1" thickBot="1">
      <c r="A54" s="15" t="s">
        <v>533</v>
      </c>
      <c r="B54" s="11"/>
      <c r="C54" s="14">
        <f t="shared" si="1"/>
        <v>0</v>
      </c>
      <c r="D54" s="14">
        <v>1E-3</v>
      </c>
      <c r="E54" s="11"/>
      <c r="F54" s="26"/>
    </row>
    <row r="55" spans="1:6" ht="30.75" thickBot="1">
      <c r="A55" s="13" t="s">
        <v>537</v>
      </c>
      <c r="B55" s="11"/>
      <c r="C55" s="14">
        <f t="shared" si="1"/>
        <v>0</v>
      </c>
      <c r="D55" s="14">
        <v>5.1000000000000004E-3</v>
      </c>
      <c r="E55" s="11"/>
      <c r="F55" s="26"/>
    </row>
    <row r="56" spans="1:6" ht="31.5" customHeight="1" thickBot="1">
      <c r="A56" s="13" t="s">
        <v>538</v>
      </c>
      <c r="B56" s="11"/>
      <c r="C56" s="14">
        <f t="shared" si="1"/>
        <v>0</v>
      </c>
      <c r="D56" s="14">
        <v>8.3000000000000001E-3</v>
      </c>
      <c r="E56" s="11"/>
      <c r="F56" s="26"/>
    </row>
    <row r="57" spans="1:6" ht="33.75" customHeight="1" thickBot="1">
      <c r="A57" s="13" t="s">
        <v>539</v>
      </c>
      <c r="B57" s="11"/>
      <c r="C57" s="14">
        <f t="shared" si="1"/>
        <v>0</v>
      </c>
      <c r="D57" s="14">
        <v>3.0000000000000001E-3</v>
      </c>
      <c r="E57" s="11"/>
      <c r="F57" s="26"/>
    </row>
    <row r="58" spans="1:6" ht="30" customHeight="1" thickBot="1">
      <c r="A58" s="13" t="s">
        <v>0</v>
      </c>
      <c r="B58" s="11"/>
      <c r="C58" s="14">
        <f t="shared" si="1"/>
        <v>0</v>
      </c>
      <c r="D58" s="14">
        <v>0.01</v>
      </c>
      <c r="E58" s="11"/>
      <c r="F58" s="26"/>
    </row>
    <row r="59" spans="1:6" ht="46.5" customHeight="1" thickBot="1">
      <c r="A59" s="13" t="s">
        <v>1</v>
      </c>
      <c r="B59" s="11"/>
      <c r="C59" s="14">
        <f t="shared" si="1"/>
        <v>0</v>
      </c>
      <c r="D59" s="14">
        <v>3.0000000000000001E-3</v>
      </c>
      <c r="E59" s="11"/>
      <c r="F59" s="26"/>
    </row>
    <row r="60" spans="1:6" ht="32.25" customHeight="1" thickBot="1">
      <c r="A60" s="13" t="s">
        <v>2</v>
      </c>
      <c r="B60" s="11"/>
      <c r="C60" s="14">
        <f t="shared" si="1"/>
        <v>0</v>
      </c>
      <c r="D60" s="14">
        <v>3.09E-2</v>
      </c>
      <c r="E60" s="11"/>
      <c r="F60" s="26"/>
    </row>
    <row r="61" spans="1:6" ht="32.25" customHeight="1" thickBot="1">
      <c r="A61" s="13" t="s">
        <v>3</v>
      </c>
      <c r="B61" s="11"/>
      <c r="C61" s="14">
        <f t="shared" si="1"/>
        <v>0</v>
      </c>
      <c r="D61" s="14">
        <v>1.03E-2</v>
      </c>
      <c r="E61" s="11"/>
      <c r="F61" s="26"/>
    </row>
    <row r="62" spans="1:6" ht="35.25" customHeight="1" thickBot="1">
      <c r="A62" s="13" t="s">
        <v>4</v>
      </c>
      <c r="B62" s="11"/>
      <c r="C62" s="14">
        <f t="shared" si="1"/>
        <v>0</v>
      </c>
      <c r="D62" s="14">
        <v>1E-3</v>
      </c>
      <c r="E62" s="11"/>
      <c r="F62" s="26"/>
    </row>
    <row r="63" spans="1:6" ht="15" thickBot="1">
      <c r="A63" s="438" t="s">
        <v>5</v>
      </c>
      <c r="B63" s="439"/>
      <c r="C63" s="439"/>
      <c r="D63" s="439"/>
      <c r="E63" s="440"/>
      <c r="F63" s="26"/>
    </row>
    <row r="64" spans="1:6" ht="31.5" customHeight="1" thickBot="1">
      <c r="A64" s="28" t="s">
        <v>6</v>
      </c>
      <c r="B64" s="20"/>
      <c r="C64" s="14">
        <f>D64*B64*12/1000</f>
        <v>0</v>
      </c>
      <c r="D64" s="29">
        <v>0.20730000000000001</v>
      </c>
      <c r="E64" s="29"/>
      <c r="F64" s="26"/>
    </row>
    <row r="65" spans="1:6" ht="30" customHeight="1" thickBot="1">
      <c r="A65" s="13" t="s">
        <v>7</v>
      </c>
      <c r="B65" s="11"/>
      <c r="C65" s="14">
        <f>D65*B65*12/1000</f>
        <v>0</v>
      </c>
      <c r="D65" s="14">
        <v>6.1000000000000004E-3</v>
      </c>
      <c r="E65" s="14"/>
      <c r="F65" s="26"/>
    </row>
    <row r="66" spans="1:6" ht="33" customHeight="1" thickBot="1">
      <c r="A66" s="13" t="s">
        <v>8</v>
      </c>
      <c r="B66" s="11"/>
      <c r="C66" s="14">
        <f>D66*B66*12/1000</f>
        <v>0</v>
      </c>
      <c r="D66" s="14">
        <v>0.19700000000000001</v>
      </c>
      <c r="E66" s="14"/>
      <c r="F66" s="26"/>
    </row>
    <row r="67" spans="1:6" ht="33" customHeight="1" thickBot="1">
      <c r="A67" s="13" t="s">
        <v>9</v>
      </c>
      <c r="B67" s="11"/>
      <c r="C67" s="14">
        <f>D67*B67*12/1000</f>
        <v>0</v>
      </c>
      <c r="D67" s="14">
        <v>0.10299999999999999</v>
      </c>
      <c r="E67" s="14"/>
      <c r="F67" s="26"/>
    </row>
    <row r="68" spans="1:6" ht="28.5" customHeight="1" thickBot="1">
      <c r="A68" s="13" t="s">
        <v>10</v>
      </c>
      <c r="B68" s="11"/>
      <c r="C68" s="14">
        <f>D68*B68*12/1000</f>
        <v>0</v>
      </c>
      <c r="D68" s="14">
        <v>1E-3</v>
      </c>
      <c r="E68" s="14"/>
      <c r="F68" s="26"/>
    </row>
    <row r="69" spans="1:6" ht="15" thickBot="1">
      <c r="A69" s="438" t="s">
        <v>12</v>
      </c>
      <c r="B69" s="439"/>
      <c r="C69" s="439"/>
      <c r="D69" s="439"/>
      <c r="E69" s="440"/>
      <c r="F69" s="26"/>
    </row>
    <row r="70" spans="1:6" ht="15.75" thickBot="1">
      <c r="A70" s="15" t="s">
        <v>14</v>
      </c>
      <c r="B70" s="11"/>
      <c r="C70" s="14">
        <f>D70*B70*12/1000</f>
        <v>0</v>
      </c>
      <c r="D70" s="14">
        <v>2E-3</v>
      </c>
      <c r="E70" s="11"/>
      <c r="F70" s="26"/>
    </row>
    <row r="71" spans="1:6" ht="30" customHeight="1" thickBot="1">
      <c r="A71" s="13" t="s">
        <v>15</v>
      </c>
      <c r="B71" s="11"/>
      <c r="C71" s="14">
        <f>D71*B71*12/1000</f>
        <v>0</v>
      </c>
      <c r="D71" s="14">
        <v>1.66E-2</v>
      </c>
      <c r="E71" s="11"/>
      <c r="F71" s="26"/>
    </row>
    <row r="72" spans="1:6" ht="15.75" customHeight="1" thickBot="1">
      <c r="A72" s="13" t="s">
        <v>16</v>
      </c>
      <c r="B72" s="11"/>
      <c r="C72" s="14">
        <f>D72*B72*12/1000</f>
        <v>0</v>
      </c>
      <c r="D72" s="14">
        <v>3.0000000000000001E-3</v>
      </c>
      <c r="E72" s="11"/>
      <c r="F72" s="26"/>
    </row>
    <row r="73" spans="1:6" ht="15" thickBot="1">
      <c r="A73" s="438" t="s">
        <v>17</v>
      </c>
      <c r="B73" s="439"/>
      <c r="C73" s="439"/>
      <c r="D73" s="439"/>
      <c r="E73" s="440"/>
      <c r="F73" s="26"/>
    </row>
    <row r="74" spans="1:6" ht="46.5" customHeight="1" thickBot="1">
      <c r="A74" s="13" t="s">
        <v>19</v>
      </c>
      <c r="B74" s="11"/>
      <c r="C74" s="14">
        <f>D74*B74*12/1000</f>
        <v>0</v>
      </c>
      <c r="D74" s="14">
        <v>4.58E-2</v>
      </c>
      <c r="E74" s="11"/>
      <c r="F74" s="26"/>
    </row>
    <row r="75" spans="1:6" ht="15" thickBot="1">
      <c r="A75" s="438" t="s">
        <v>21</v>
      </c>
      <c r="B75" s="439"/>
      <c r="C75" s="439"/>
      <c r="D75" s="439"/>
      <c r="E75" s="439"/>
      <c r="F75" s="440"/>
    </row>
    <row r="76" spans="1:6" ht="20.25" customHeight="1">
      <c r="A76" s="464" t="s">
        <v>22</v>
      </c>
      <c r="B76" s="441"/>
      <c r="C76" s="462">
        <v>0</v>
      </c>
      <c r="D76" s="462">
        <v>0.13400000000000001</v>
      </c>
      <c r="E76" s="468"/>
      <c r="F76" s="469"/>
    </row>
    <row r="77" spans="1:6" ht="13.5" thickBot="1">
      <c r="A77" s="465"/>
      <c r="B77" s="443"/>
      <c r="C77" s="463"/>
      <c r="D77" s="463"/>
      <c r="E77" s="455"/>
      <c r="F77" s="457"/>
    </row>
    <row r="78" spans="1:6" ht="31.5" customHeight="1" thickBot="1">
      <c r="A78" s="13" t="s">
        <v>23</v>
      </c>
      <c r="B78" s="11"/>
      <c r="C78" s="14">
        <f>D78*B78*12/1000</f>
        <v>0</v>
      </c>
      <c r="D78" s="14">
        <v>0.13400000000000001</v>
      </c>
      <c r="E78" s="438"/>
      <c r="F78" s="440"/>
    </row>
    <row r="79" spans="1:6" ht="30" customHeight="1" thickBot="1">
      <c r="A79" s="13" t="s">
        <v>24</v>
      </c>
      <c r="B79" s="11"/>
      <c r="C79" s="14">
        <f>D79*B79*12/1000</f>
        <v>0</v>
      </c>
      <c r="D79" s="14">
        <v>0.1203</v>
      </c>
      <c r="E79" s="438"/>
      <c r="F79" s="440"/>
    </row>
    <row r="80" spans="1:6" ht="15" thickBot="1">
      <c r="A80" s="438" t="s">
        <v>49</v>
      </c>
      <c r="B80" s="439"/>
      <c r="C80" s="439"/>
      <c r="D80" s="439"/>
      <c r="E80" s="440"/>
      <c r="F80" s="26"/>
    </row>
    <row r="81" spans="1:6" ht="45.75" customHeight="1" thickBot="1">
      <c r="A81" s="13" t="s">
        <v>50</v>
      </c>
      <c r="B81" s="11"/>
      <c r="C81" s="14">
        <f>D81*B81*12/1000</f>
        <v>0</v>
      </c>
      <c r="D81" s="14">
        <v>5.3800000000000001E-2</v>
      </c>
      <c r="E81" s="11"/>
      <c r="F81" s="26"/>
    </row>
    <row r="82" spans="1:6" ht="45.75" customHeight="1" thickBot="1">
      <c r="A82" s="13" t="s">
        <v>51</v>
      </c>
      <c r="B82" s="11"/>
      <c r="C82" s="14">
        <f>D82*B82*12/1000</f>
        <v>0</v>
      </c>
      <c r="D82" s="14">
        <v>4.1500000000000002E-2</v>
      </c>
      <c r="E82" s="11"/>
      <c r="F82" s="26"/>
    </row>
    <row r="83" spans="1:6" ht="31.5" customHeight="1" thickBot="1">
      <c r="A83" s="13" t="s">
        <v>52</v>
      </c>
      <c r="B83" s="11"/>
      <c r="C83" s="14">
        <f>D83*B83*12/1000</f>
        <v>0</v>
      </c>
      <c r="D83" s="14">
        <v>0.26</v>
      </c>
      <c r="E83" s="11"/>
      <c r="F83" s="26"/>
    </row>
    <row r="84" spans="1:6" ht="47.25" customHeight="1" thickBot="1">
      <c r="A84" s="13" t="s">
        <v>53</v>
      </c>
      <c r="B84" s="11"/>
      <c r="C84" s="14">
        <f>D84*B84*12/1000</f>
        <v>0</v>
      </c>
      <c r="D84" s="14">
        <v>1.26E-2</v>
      </c>
      <c r="E84" s="11"/>
      <c r="F84" s="26"/>
    </row>
    <row r="85" spans="1:6" ht="48" customHeight="1" thickBot="1">
      <c r="A85" s="13" t="s">
        <v>54</v>
      </c>
      <c r="B85" s="11"/>
      <c r="C85" s="14">
        <f>D85*B85*12/1000</f>
        <v>0</v>
      </c>
      <c r="D85" s="14">
        <v>3.09E-2</v>
      </c>
      <c r="E85" s="11"/>
      <c r="F85" s="26"/>
    </row>
    <row r="86" spans="1:6" ht="15" thickBot="1">
      <c r="A86" s="438" t="s">
        <v>55</v>
      </c>
      <c r="B86" s="439"/>
      <c r="C86" s="439"/>
      <c r="D86" s="439"/>
      <c r="E86" s="440"/>
      <c r="F86" s="26"/>
    </row>
    <row r="87" spans="1:6" ht="33.75" customHeight="1" thickBot="1">
      <c r="A87" s="13" t="s">
        <v>56</v>
      </c>
      <c r="B87" s="11"/>
      <c r="C87" s="14">
        <f>D87*B87*12/1000</f>
        <v>0</v>
      </c>
      <c r="D87" s="14">
        <v>0.1145</v>
      </c>
      <c r="E87" s="11"/>
      <c r="F87" s="26"/>
    </row>
    <row r="88" spans="1:6" ht="30.75" customHeight="1" thickBot="1">
      <c r="A88" s="13" t="s">
        <v>57</v>
      </c>
      <c r="B88" s="11"/>
      <c r="C88" s="14">
        <f>D88*B88*12/1000</f>
        <v>0</v>
      </c>
      <c r="D88" s="14">
        <v>0.1145</v>
      </c>
      <c r="E88" s="11"/>
      <c r="F88" s="26"/>
    </row>
    <row r="89" spans="1:6" ht="45.75" customHeight="1" thickBot="1">
      <c r="A89" s="13" t="s">
        <v>69</v>
      </c>
      <c r="B89" s="11"/>
      <c r="C89" s="14">
        <f>D89*B89*12/1000</f>
        <v>0</v>
      </c>
      <c r="D89" s="14">
        <v>0.10299999999999999</v>
      </c>
      <c r="E89" s="11"/>
      <c r="F89" s="26"/>
    </row>
    <row r="90" spans="1:6" ht="15" thickBot="1">
      <c r="A90" s="438" t="s">
        <v>59</v>
      </c>
      <c r="B90" s="439"/>
      <c r="C90" s="439"/>
      <c r="D90" s="439"/>
      <c r="E90" s="440"/>
      <c r="F90" s="26"/>
    </row>
    <row r="91" spans="1:6" ht="15.75" thickBot="1">
      <c r="A91" s="13" t="s">
        <v>63</v>
      </c>
      <c r="B91" s="11"/>
      <c r="C91" s="14">
        <f>D91*B91*12/1000</f>
        <v>0</v>
      </c>
      <c r="D91" s="14">
        <v>0.19</v>
      </c>
      <c r="E91" s="11"/>
      <c r="F91" s="26"/>
    </row>
    <row r="92" spans="1:6" ht="15.75" customHeight="1" thickBot="1">
      <c r="A92" s="13" t="s">
        <v>64</v>
      </c>
      <c r="B92" s="11"/>
      <c r="C92" s="14">
        <f>D92*B92*12/1000</f>
        <v>0</v>
      </c>
      <c r="D92" s="14">
        <v>0.51</v>
      </c>
      <c r="E92" s="11"/>
      <c r="F92" s="26"/>
    </row>
    <row r="93" spans="1:6" ht="15" thickBot="1">
      <c r="A93" s="22" t="s">
        <v>65</v>
      </c>
      <c r="B93" s="11"/>
      <c r="C93" s="11">
        <f>C12+C14+C15+C16+C17+C18+C19+C21+C22+C24+C25+C26+C27+C28+C29+C30+C31+C32+C33+C34+C35+C37+C38+C39+C41+C42+C43+C44+C46+C47+C48+C49+C50+C51+C52+C53+C54+C55+C56+C57+C58+C60+C65+C67+C68+C69+C70+C72+C73+C75+C77+C79+C81+C82+C83+C84+C85+C87+C88+C89+C91+C92</f>
        <v>0</v>
      </c>
      <c r="D93" s="33">
        <f>D12+D14+D15+D16+D17+D18+D19+D21+D22+D24+D25+D26+D27+D28+D29+D30+D31+D32+D33+D34+D35+D37+D38+D39+D41+D42+D43+D44+D46+D47+D48+D49+D50+D51+D52+D53+D54+D55+D56+D57+D58+D60+D65+D67+D68+D69+D70+D72+D73+D75+D77+D79+D81+D82+D83+D84+D85+D87+D88+D89+D91+D92</f>
        <v>3.3445999999999998</v>
      </c>
      <c r="E93" s="11"/>
      <c r="F93" s="26"/>
    </row>
    <row r="94" spans="1:6" ht="51.75" customHeight="1" thickBot="1">
      <c r="A94" s="22" t="s">
        <v>66</v>
      </c>
      <c r="B94" s="11"/>
      <c r="C94" s="33">
        <f>C93+полубл.ж1!C25</f>
        <v>0</v>
      </c>
      <c r="D94" s="33">
        <f>D93+полубл.ж1!D25</f>
        <v>4.2583000000000002</v>
      </c>
      <c r="E94" s="11"/>
      <c r="F94" s="26"/>
    </row>
    <row r="95" spans="1:6" ht="14.25">
      <c r="A95" s="25"/>
    </row>
    <row r="96" spans="1:6" ht="14.25">
      <c r="A96" s="31" t="s">
        <v>67</v>
      </c>
    </row>
    <row r="97" spans="1:1" ht="14.25">
      <c r="A97" s="31"/>
    </row>
    <row r="98" spans="1:1" ht="14.25">
      <c r="A98" s="31"/>
    </row>
  </sheetData>
  <mergeCells count="43">
    <mergeCell ref="F9:F10"/>
    <mergeCell ref="A12:E12"/>
    <mergeCell ref="A13:A14"/>
    <mergeCell ref="B13:B14"/>
    <mergeCell ref="C13:C14"/>
    <mergeCell ref="D13:D14"/>
    <mergeCell ref="E13:E14"/>
    <mergeCell ref="F13:F14"/>
    <mergeCell ref="A9:A11"/>
    <mergeCell ref="B9:B11"/>
    <mergeCell ref="D9:D10"/>
    <mergeCell ref="E9:E11"/>
    <mergeCell ref="F18:F19"/>
    <mergeCell ref="A22:E22"/>
    <mergeCell ref="B24:B25"/>
    <mergeCell ref="C24:C25"/>
    <mergeCell ref="D24:D25"/>
    <mergeCell ref="E24:E25"/>
    <mergeCell ref="F24:F25"/>
    <mergeCell ref="A18:A19"/>
    <mergeCell ref="B18:B19"/>
    <mergeCell ref="C18:C19"/>
    <mergeCell ref="D18:D19"/>
    <mergeCell ref="E18:E19"/>
    <mergeCell ref="C76:C77"/>
    <mergeCell ref="D76:D77"/>
    <mergeCell ref="E76:F77"/>
    <mergeCell ref="A30:E30"/>
    <mergeCell ref="A39:E39"/>
    <mergeCell ref="A45:E45"/>
    <mergeCell ref="A50:E50"/>
    <mergeCell ref="A52:E52"/>
    <mergeCell ref="A63:E63"/>
    <mergeCell ref="A69:E69"/>
    <mergeCell ref="A73:E73"/>
    <mergeCell ref="A75:F75"/>
    <mergeCell ref="A76:A77"/>
    <mergeCell ref="B76:B77"/>
    <mergeCell ref="A86:E86"/>
    <mergeCell ref="A90:E90"/>
    <mergeCell ref="E78:F78"/>
    <mergeCell ref="E79:F79"/>
    <mergeCell ref="A80:E8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E26"/>
  <sheetViews>
    <sheetView topLeftCell="A17" workbookViewId="0">
      <selection activeCell="C25" sqref="C25:D25"/>
    </sheetView>
  </sheetViews>
  <sheetFormatPr defaultRowHeight="12.75"/>
  <cols>
    <col min="1" max="1" width="27.85546875" customWidth="1"/>
    <col min="2" max="2" width="18.5703125" customWidth="1"/>
    <col min="3" max="3" width="13.5703125" customWidth="1"/>
    <col min="4" max="4" width="14.140625" customWidth="1"/>
    <col min="5" max="5" width="15.42578125" customWidth="1"/>
  </cols>
  <sheetData>
    <row r="1" spans="1:5" ht="15.75">
      <c r="A1" s="473" t="s">
        <v>434</v>
      </c>
      <c r="B1" s="473"/>
      <c r="C1" s="473"/>
      <c r="D1" s="473"/>
      <c r="E1" s="473"/>
    </row>
    <row r="2" spans="1:5" ht="15.75">
      <c r="A2" s="473" t="s">
        <v>435</v>
      </c>
      <c r="B2" s="473"/>
      <c r="C2" s="473"/>
      <c r="D2" s="473"/>
      <c r="E2" s="473"/>
    </row>
    <row r="3" spans="1:5" ht="15.75">
      <c r="A3" s="473" t="s">
        <v>436</v>
      </c>
      <c r="B3" s="473"/>
      <c r="C3" s="473"/>
      <c r="D3" s="473"/>
      <c r="E3" s="473"/>
    </row>
    <row r="4" spans="1:5" ht="16.5" thickBot="1">
      <c r="A4" s="1"/>
    </row>
    <row r="5" spans="1:5" ht="14.25">
      <c r="A5" s="441" t="s">
        <v>437</v>
      </c>
      <c r="B5" s="3"/>
      <c r="C5" s="7" t="s">
        <v>439</v>
      </c>
      <c r="D5" s="7" t="s">
        <v>454</v>
      </c>
      <c r="E5" s="441" t="s">
        <v>458</v>
      </c>
    </row>
    <row r="6" spans="1:5" ht="35.25">
      <c r="A6" s="442"/>
      <c r="B6" s="4" t="s">
        <v>438</v>
      </c>
      <c r="C6" s="8" t="s">
        <v>440</v>
      </c>
      <c r="D6" s="8" t="s">
        <v>455</v>
      </c>
      <c r="E6" s="442"/>
    </row>
    <row r="7" spans="1:5" ht="28.5">
      <c r="A7" s="442"/>
      <c r="B7" s="5"/>
      <c r="C7" s="8" t="s">
        <v>441</v>
      </c>
      <c r="D7" s="8" t="s">
        <v>456</v>
      </c>
      <c r="E7" s="442"/>
    </row>
    <row r="8" spans="1:5" ht="29.25" thickBot="1">
      <c r="A8" s="442"/>
      <c r="B8" s="5"/>
      <c r="C8" s="9"/>
      <c r="D8" s="11" t="s">
        <v>457</v>
      </c>
      <c r="E8" s="442"/>
    </row>
    <row r="9" spans="1:5" ht="43.5" thickBot="1">
      <c r="A9" s="443"/>
      <c r="B9" s="6"/>
      <c r="C9" s="10"/>
      <c r="D9" s="12" t="s">
        <v>68</v>
      </c>
      <c r="E9" s="443"/>
    </row>
    <row r="10" spans="1:5" ht="28.5" customHeight="1" thickBot="1">
      <c r="A10" s="438" t="s">
        <v>460</v>
      </c>
      <c r="B10" s="439"/>
      <c r="C10" s="439"/>
      <c r="D10" s="439"/>
      <c r="E10" s="440"/>
    </row>
    <row r="11" spans="1:5" ht="29.25" customHeight="1" thickBot="1">
      <c r="A11" s="13" t="s">
        <v>461</v>
      </c>
      <c r="B11" s="14" t="s">
        <v>462</v>
      </c>
      <c r="C11" s="14">
        <f>D11*F11/1000</f>
        <v>0</v>
      </c>
      <c r="D11" s="14">
        <v>1.5599999999999999E-2</v>
      </c>
      <c r="E11" s="14"/>
    </row>
    <row r="12" spans="1:5" ht="42.75" customHeight="1" thickBot="1">
      <c r="A12" s="438" t="s">
        <v>463</v>
      </c>
      <c r="B12" s="439"/>
      <c r="C12" s="439"/>
      <c r="D12" s="439"/>
      <c r="E12" s="440"/>
    </row>
    <row r="13" spans="1:5" ht="19.5" customHeight="1" thickBot="1">
      <c r="A13" s="15" t="s">
        <v>478</v>
      </c>
      <c r="B13" s="14" t="s">
        <v>464</v>
      </c>
      <c r="C13" s="14">
        <f>D13*F13/1000</f>
        <v>0</v>
      </c>
      <c r="D13" s="14">
        <v>3.4299999999999997E-2</v>
      </c>
      <c r="E13" s="14"/>
    </row>
    <row r="14" spans="1:5" ht="30.75" thickBot="1">
      <c r="A14" s="15" t="s">
        <v>479</v>
      </c>
      <c r="B14" s="14" t="s">
        <v>464</v>
      </c>
      <c r="C14" s="14">
        <f>D14*F14/1000</f>
        <v>0</v>
      </c>
      <c r="D14" s="14">
        <v>4.58E-2</v>
      </c>
      <c r="E14" s="14"/>
    </row>
    <row r="15" spans="1:5" ht="15" thickBot="1">
      <c r="A15" s="438" t="s">
        <v>74</v>
      </c>
      <c r="B15" s="439"/>
      <c r="C15" s="439"/>
      <c r="D15" s="439"/>
      <c r="E15" s="440"/>
    </row>
    <row r="16" spans="1:5" ht="30.75" thickBot="1">
      <c r="A16" s="15" t="s">
        <v>465</v>
      </c>
      <c r="B16" s="16" t="s">
        <v>462</v>
      </c>
      <c r="C16" s="14">
        <f>D16*F16/1000</f>
        <v>0</v>
      </c>
      <c r="D16" s="14">
        <v>1.2999999999999999E-2</v>
      </c>
      <c r="E16" s="14"/>
    </row>
    <row r="17" spans="1:5" ht="28.5" customHeight="1" thickBot="1">
      <c r="A17" s="438" t="s">
        <v>78</v>
      </c>
      <c r="B17" s="439"/>
      <c r="C17" s="439"/>
      <c r="D17" s="439"/>
      <c r="E17" s="440"/>
    </row>
    <row r="18" spans="1:5" ht="36.75" thickBot="1">
      <c r="A18" s="470" t="s">
        <v>467</v>
      </c>
      <c r="B18" s="23" t="s">
        <v>468</v>
      </c>
      <c r="C18" s="14">
        <f>D18*F18/1000</f>
        <v>0</v>
      </c>
      <c r="D18" s="14">
        <v>0.33</v>
      </c>
      <c r="E18" s="14"/>
    </row>
    <row r="19" spans="1:5" ht="37.5" customHeight="1" thickBot="1">
      <c r="A19" s="471"/>
      <c r="B19" s="23" t="s">
        <v>469</v>
      </c>
      <c r="C19" s="14">
        <f>D19*F19/1000</f>
        <v>0</v>
      </c>
      <c r="D19" s="14">
        <v>5.7000000000000002E-2</v>
      </c>
      <c r="E19" s="14"/>
    </row>
    <row r="20" spans="1:5" ht="38.25" customHeight="1" thickBot="1">
      <c r="A20" s="471"/>
      <c r="B20" s="23" t="s">
        <v>470</v>
      </c>
      <c r="C20" s="14">
        <f>D20*F20/1000</f>
        <v>0</v>
      </c>
      <c r="D20" s="14">
        <v>0.09</v>
      </c>
      <c r="E20" s="14"/>
    </row>
    <row r="21" spans="1:5" ht="71.25" customHeight="1" thickBot="1">
      <c r="A21" s="472"/>
      <c r="B21" s="24" t="s">
        <v>471</v>
      </c>
      <c r="C21" s="14">
        <f>D21*F21/1000</f>
        <v>0</v>
      </c>
      <c r="D21" s="14">
        <v>0.04</v>
      </c>
      <c r="E21" s="14"/>
    </row>
    <row r="22" spans="1:5" ht="18.75" customHeight="1" thickBot="1">
      <c r="A22" s="438" t="s">
        <v>79</v>
      </c>
      <c r="B22" s="439"/>
      <c r="C22" s="439"/>
      <c r="D22" s="439"/>
      <c r="E22" s="440"/>
    </row>
    <row r="23" spans="1:5" ht="36.75" thickBot="1">
      <c r="A23" s="15" t="s">
        <v>473</v>
      </c>
      <c r="B23" s="24" t="s">
        <v>474</v>
      </c>
      <c r="C23" s="14">
        <f>D23*F23/1000</f>
        <v>0</v>
      </c>
      <c r="D23" s="14">
        <v>0.23</v>
      </c>
      <c r="E23" s="14"/>
    </row>
    <row r="24" spans="1:5" ht="48.75" thickBot="1">
      <c r="A24" s="15" t="s">
        <v>475</v>
      </c>
      <c r="B24" s="24" t="s">
        <v>476</v>
      </c>
      <c r="C24" s="14">
        <f>D24*F24/1000</f>
        <v>0</v>
      </c>
      <c r="D24" s="14">
        <v>5.8000000000000003E-2</v>
      </c>
      <c r="E24" s="14"/>
    </row>
    <row r="25" spans="1:5" ht="15" thickBot="1">
      <c r="A25" s="18" t="s">
        <v>477</v>
      </c>
      <c r="B25" s="19"/>
      <c r="C25" s="11">
        <f>C11+C13+C14+C16+C18+C19+C20+C21+C23+C24</f>
        <v>0</v>
      </c>
      <c r="D25" s="11">
        <f>D11+D13+D14+D16+D18+D19+D20+D21+D23+D24</f>
        <v>0.91370000000000007</v>
      </c>
      <c r="E25" s="11"/>
    </row>
    <row r="26" spans="1:5" ht="14.25">
      <c r="A26" s="25"/>
    </row>
  </sheetData>
  <mergeCells count="11">
    <mergeCell ref="A12:E12"/>
    <mergeCell ref="A22:E22"/>
    <mergeCell ref="A17:E17"/>
    <mergeCell ref="A18:A21"/>
    <mergeCell ref="A1:E1"/>
    <mergeCell ref="A2:E2"/>
    <mergeCell ref="A3:E3"/>
    <mergeCell ref="A15:E15"/>
    <mergeCell ref="A5:A9"/>
    <mergeCell ref="E5:E9"/>
    <mergeCell ref="A10:E1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N58"/>
  <sheetViews>
    <sheetView topLeftCell="A31" workbookViewId="0">
      <selection activeCell="A45" sqref="A45:H45"/>
    </sheetView>
  </sheetViews>
  <sheetFormatPr defaultRowHeight="12.75"/>
  <cols>
    <col min="1" max="1" width="19" customWidth="1"/>
    <col min="2" max="2" width="15.140625" customWidth="1"/>
    <col min="3" max="3" width="13.28515625" customWidth="1"/>
    <col min="4" max="4" width="15.140625" customWidth="1"/>
    <col min="5" max="5" width="16.42578125" customWidth="1"/>
    <col min="6" max="6" width="6.140625" customWidth="1"/>
    <col min="7" max="7" width="9.85546875" customWidth="1"/>
  </cols>
  <sheetData>
    <row r="3" spans="1:14" ht="18">
      <c r="A3" s="474" t="s">
        <v>253</v>
      </c>
      <c r="B3" s="474"/>
      <c r="C3" s="474"/>
      <c r="D3" s="474"/>
      <c r="E3" s="474"/>
      <c r="F3" s="118"/>
    </row>
    <row r="4" spans="1:14" ht="15">
      <c r="A4" s="475" t="s">
        <v>184</v>
      </c>
      <c r="B4" s="475"/>
      <c r="C4" s="475"/>
      <c r="D4" s="475"/>
      <c r="E4" s="475"/>
      <c r="F4" s="119"/>
    </row>
    <row r="5" spans="1:14" ht="15">
      <c r="A5" s="120"/>
    </row>
    <row r="6" spans="1:14" ht="12.75" customHeight="1">
      <c r="A6" s="476" t="s">
        <v>254</v>
      </c>
      <c r="B6" s="476" t="s">
        <v>255</v>
      </c>
      <c r="C6" s="478" t="s">
        <v>256</v>
      </c>
      <c r="D6" s="479"/>
      <c r="E6" s="480"/>
      <c r="F6" s="121"/>
      <c r="G6" s="42"/>
      <c r="H6" s="42"/>
      <c r="I6" s="42"/>
      <c r="J6" s="484" t="s">
        <v>257</v>
      </c>
      <c r="K6" s="484"/>
      <c r="L6" s="484"/>
      <c r="M6" s="42"/>
    </row>
    <row r="7" spans="1:14" ht="59.25" customHeight="1">
      <c r="A7" s="477"/>
      <c r="B7" s="477"/>
      <c r="C7" s="101" t="s">
        <v>258</v>
      </c>
      <c r="D7" s="101" t="s">
        <v>259</v>
      </c>
      <c r="E7" s="101" t="s">
        <v>260</v>
      </c>
      <c r="F7" s="101" t="s">
        <v>477</v>
      </c>
      <c r="G7" s="122" t="s">
        <v>261</v>
      </c>
      <c r="H7" s="122" t="s">
        <v>262</v>
      </c>
      <c r="I7" s="122" t="s">
        <v>263</v>
      </c>
      <c r="J7" s="122" t="s">
        <v>264</v>
      </c>
      <c r="K7" s="122" t="s">
        <v>265</v>
      </c>
      <c r="L7" s="122" t="s">
        <v>266</v>
      </c>
      <c r="M7" s="122" t="s">
        <v>433</v>
      </c>
      <c r="N7" s="123"/>
    </row>
    <row r="8" spans="1:14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/>
      <c r="G8" s="42" t="s">
        <v>267</v>
      </c>
      <c r="H8" s="42" t="s">
        <v>267</v>
      </c>
      <c r="I8" s="42" t="s">
        <v>267</v>
      </c>
      <c r="J8" s="42" t="s">
        <v>267</v>
      </c>
      <c r="K8" s="42" t="s">
        <v>267</v>
      </c>
      <c r="L8" s="42" t="s">
        <v>267</v>
      </c>
      <c r="M8" s="42"/>
    </row>
    <row r="9" spans="1:14">
      <c r="A9" s="124"/>
      <c r="B9" s="124"/>
      <c r="C9" s="485" t="s">
        <v>268</v>
      </c>
      <c r="D9" s="485"/>
      <c r="E9" s="485"/>
      <c r="F9" s="125"/>
      <c r="G9" s="42">
        <f>SUM(H9:I9)</f>
        <v>78.042699999999996</v>
      </c>
      <c r="H9" s="42">
        <f>расч!I8</f>
        <v>59.411700000000003</v>
      </c>
      <c r="I9" s="42">
        <f>расч!J8</f>
        <v>18.631</v>
      </c>
      <c r="J9" s="42">
        <f>расч!K8</f>
        <v>78.255420000000029</v>
      </c>
      <c r="K9" s="42">
        <f>расч!L8</f>
        <v>34.480899999999991</v>
      </c>
      <c r="L9" s="42">
        <f>расч!M8</f>
        <v>23.4129</v>
      </c>
      <c r="M9" s="42">
        <f>SUM(J9:L9)</f>
        <v>136.14922000000001</v>
      </c>
    </row>
    <row r="10" spans="1:14" ht="63.75">
      <c r="A10" s="101" t="s">
        <v>185</v>
      </c>
      <c r="B10" s="101" t="s">
        <v>269</v>
      </c>
      <c r="C10" s="482">
        <f>0.0595*H9</f>
        <v>3.53499615</v>
      </c>
      <c r="D10" s="482"/>
      <c r="E10" s="482"/>
      <c r="F10" s="126">
        <v>3.39</v>
      </c>
    </row>
    <row r="11" spans="1:14" ht="25.5">
      <c r="A11" s="101"/>
      <c r="B11" s="101"/>
      <c r="C11" s="483" t="s">
        <v>270</v>
      </c>
      <c r="D11" s="483"/>
      <c r="E11" s="127" t="s">
        <v>271</v>
      </c>
      <c r="F11" s="127"/>
    </row>
    <row r="12" spans="1:14" ht="25.5">
      <c r="A12" s="101" t="s">
        <v>186</v>
      </c>
      <c r="B12" s="101" t="s">
        <v>272</v>
      </c>
      <c r="C12" s="482">
        <f>(J9+K9)*0.00376</f>
        <v>0.42388856320000007</v>
      </c>
      <c r="D12" s="482"/>
      <c r="E12" s="128">
        <f>0.00096*L9</f>
        <v>2.2476384000000002E-2</v>
      </c>
      <c r="F12" s="126">
        <f>SUM(C12:E12)</f>
        <v>0.44636494720000008</v>
      </c>
    </row>
    <row r="13" spans="1:14">
      <c r="A13" s="101"/>
      <c r="B13" s="101"/>
      <c r="C13" s="129"/>
      <c r="D13" s="481" t="s">
        <v>273</v>
      </c>
      <c r="E13" s="481"/>
      <c r="F13" s="126"/>
    </row>
    <row r="14" spans="1:14" ht="25.5">
      <c r="A14" s="101" t="s">
        <v>187</v>
      </c>
      <c r="B14" s="101" t="s">
        <v>272</v>
      </c>
      <c r="C14" s="101"/>
      <c r="D14" s="482">
        <f>0.0009*(K9+L9)</f>
        <v>5.2104419999999992E-2</v>
      </c>
      <c r="E14" s="482"/>
      <c r="F14" s="126">
        <f>SUM(C14:E14)</f>
        <v>5.2104419999999992E-2</v>
      </c>
    </row>
    <row r="15" spans="1:14">
      <c r="A15" s="101"/>
      <c r="B15" s="101"/>
      <c r="C15" s="130" t="s">
        <v>274</v>
      </c>
      <c r="D15" s="130" t="s">
        <v>275</v>
      </c>
      <c r="E15" s="101" t="s">
        <v>276</v>
      </c>
      <c r="F15" s="126"/>
    </row>
    <row r="16" spans="1:14" ht="25.5">
      <c r="A16" s="101" t="s">
        <v>188</v>
      </c>
      <c r="B16" s="101" t="s">
        <v>272</v>
      </c>
      <c r="C16" s="128">
        <f>0.0227*J9</f>
        <v>1.7763980340000007</v>
      </c>
      <c r="D16" s="128">
        <f>0.0111*K9</f>
        <v>0.38273798999999992</v>
      </c>
      <c r="E16" s="101"/>
      <c r="F16" s="126">
        <f>SUM(C16:E16)</f>
        <v>2.1591360240000008</v>
      </c>
    </row>
    <row r="17" spans="1:6">
      <c r="A17" s="101"/>
      <c r="B17" s="101"/>
      <c r="C17" s="131" t="s">
        <v>277</v>
      </c>
      <c r="D17" s="131" t="s">
        <v>278</v>
      </c>
      <c r="E17" s="131" t="s">
        <v>279</v>
      </c>
      <c r="F17" s="127"/>
    </row>
    <row r="18" spans="1:6" ht="25.5">
      <c r="A18" s="101" t="s">
        <v>189</v>
      </c>
      <c r="B18" s="101" t="s">
        <v>272</v>
      </c>
      <c r="C18" s="128">
        <f>0.02048*J9</f>
        <v>1.6026710016000008</v>
      </c>
      <c r="D18" s="128">
        <f>0.02295*K9</f>
        <v>0.79133665499999983</v>
      </c>
      <c r="E18" s="128">
        <f>0.02485*L9</f>
        <v>0.58181056500000006</v>
      </c>
      <c r="F18" s="126">
        <f>SUM(C18:E18)</f>
        <v>2.9758182216000004</v>
      </c>
    </row>
    <row r="19" spans="1:6">
      <c r="A19" s="101"/>
      <c r="B19" s="101"/>
      <c r="C19" s="132" t="s">
        <v>276</v>
      </c>
      <c r="D19" s="483" t="s">
        <v>280</v>
      </c>
      <c r="E19" s="483"/>
      <c r="F19" s="127"/>
    </row>
    <row r="20" spans="1:6" ht="51">
      <c r="A20" s="101" t="s">
        <v>190</v>
      </c>
      <c r="B20" s="101" t="s">
        <v>272</v>
      </c>
      <c r="C20" s="101"/>
      <c r="D20" s="482">
        <f>(K9+L9)*0.00612</f>
        <v>0.35431005599999993</v>
      </c>
      <c r="E20" s="482"/>
      <c r="F20" s="126">
        <v>0.2</v>
      </c>
    </row>
    <row r="21" spans="1:6">
      <c r="A21" s="101"/>
      <c r="B21" s="101"/>
      <c r="C21" s="485" t="s">
        <v>281</v>
      </c>
      <c r="D21" s="485"/>
      <c r="E21" s="485"/>
      <c r="F21" s="125"/>
    </row>
    <row r="22" spans="1:6" ht="25.5">
      <c r="A22" s="101" t="s">
        <v>191</v>
      </c>
      <c r="B22" s="101" t="s">
        <v>272</v>
      </c>
      <c r="C22" s="482">
        <f>0.0043*M9</f>
        <v>0.58544164600000004</v>
      </c>
      <c r="D22" s="482"/>
      <c r="E22" s="482"/>
      <c r="F22" s="126">
        <v>0.36</v>
      </c>
    </row>
    <row r="23" spans="1:6">
      <c r="A23" s="101"/>
      <c r="B23" s="101"/>
      <c r="C23" s="485" t="s">
        <v>282</v>
      </c>
      <c r="D23" s="485"/>
      <c r="E23" s="485"/>
      <c r="F23" s="125"/>
    </row>
    <row r="24" spans="1:6" ht="38.25">
      <c r="A24" s="101" t="s">
        <v>192</v>
      </c>
      <c r="B24" s="101" t="s">
        <v>272</v>
      </c>
      <c r="C24" s="482">
        <f>0.00046*M9</f>
        <v>6.2628641200000001E-2</v>
      </c>
      <c r="D24" s="482"/>
      <c r="E24" s="482"/>
      <c r="F24" s="126">
        <v>0.04</v>
      </c>
    </row>
    <row r="25" spans="1:6">
      <c r="A25" s="101"/>
      <c r="B25" s="101"/>
      <c r="C25" s="485" t="s">
        <v>283</v>
      </c>
      <c r="D25" s="485"/>
      <c r="E25" s="485"/>
      <c r="F25" s="125"/>
    </row>
    <row r="26" spans="1:6" ht="51">
      <c r="A26" s="101" t="s">
        <v>193</v>
      </c>
      <c r="B26" s="101" t="s">
        <v>284</v>
      </c>
      <c r="C26" s="482">
        <f>0.0068*L9</f>
        <v>0.15920772</v>
      </c>
      <c r="D26" s="482"/>
      <c r="E26" s="482"/>
      <c r="F26" s="126">
        <v>0.06</v>
      </c>
    </row>
    <row r="27" spans="1:6">
      <c r="A27" s="101"/>
      <c r="B27" s="101"/>
      <c r="C27" s="130">
        <v>3.065E-2</v>
      </c>
      <c r="D27" s="130">
        <v>5.3899999999999998E-3</v>
      </c>
      <c r="E27" s="130">
        <v>3.4869999999999998E-2</v>
      </c>
      <c r="F27" s="125"/>
    </row>
    <row r="28" spans="1:6" ht="25.5">
      <c r="A28" s="101" t="s">
        <v>194</v>
      </c>
      <c r="B28" s="101" t="s">
        <v>272</v>
      </c>
      <c r="C28" s="133">
        <f>C27*J9</f>
        <v>2.3985286230000007</v>
      </c>
      <c r="D28" s="133">
        <f>D27*K9</f>
        <v>0.18585205099999993</v>
      </c>
      <c r="E28" s="133">
        <f>E27*L9</f>
        <v>0.81640782299999992</v>
      </c>
      <c r="F28" s="134">
        <f>SUM(C28:E28)</f>
        <v>3.4007884970000006</v>
      </c>
    </row>
    <row r="29" spans="1:6">
      <c r="A29" s="101"/>
      <c r="B29" s="101"/>
      <c r="C29" s="485" t="s">
        <v>285</v>
      </c>
      <c r="D29" s="485"/>
      <c r="E29" s="485"/>
      <c r="F29" s="125"/>
    </row>
    <row r="30" spans="1:6" ht="25.5">
      <c r="A30" s="101" t="s">
        <v>195</v>
      </c>
      <c r="B30" s="101" t="s">
        <v>272</v>
      </c>
      <c r="C30" s="482">
        <f>0.0008*G9</f>
        <v>6.2434160000000002E-2</v>
      </c>
      <c r="D30" s="482"/>
      <c r="E30" s="482"/>
      <c r="F30" s="126">
        <v>0.06</v>
      </c>
    </row>
    <row r="31" spans="1:6">
      <c r="A31" s="101"/>
      <c r="B31" s="101"/>
      <c r="C31" s="130">
        <v>2.4930000000000001E-2</v>
      </c>
      <c r="D31" s="130">
        <v>8.8800000000000007E-3</v>
      </c>
      <c r="E31" s="130">
        <v>4.1849999999999998E-2</v>
      </c>
      <c r="F31" s="125"/>
    </row>
    <row r="32" spans="1:6" ht="25.5">
      <c r="A32" s="101" t="s">
        <v>196</v>
      </c>
      <c r="B32" s="101" t="s">
        <v>272</v>
      </c>
      <c r="C32" s="128">
        <f>C31*J9</f>
        <v>1.9509076206000009</v>
      </c>
      <c r="D32" s="128">
        <f>D31*K9</f>
        <v>0.30619039199999992</v>
      </c>
      <c r="E32" s="128">
        <f>L9*E31</f>
        <v>0.97982986500000002</v>
      </c>
      <c r="F32" s="126">
        <f>SUM(C32:E32)</f>
        <v>3.2369278776000008</v>
      </c>
    </row>
    <row r="33" spans="1:8">
      <c r="A33" s="101"/>
      <c r="B33" s="101"/>
      <c r="C33" s="485" t="s">
        <v>286</v>
      </c>
      <c r="D33" s="485"/>
      <c r="E33" s="485"/>
      <c r="F33" s="125"/>
    </row>
    <row r="34" spans="1:8" ht="25.5">
      <c r="A34" s="101" t="s">
        <v>197</v>
      </c>
      <c r="B34" s="101" t="s">
        <v>272</v>
      </c>
      <c r="C34" s="482">
        <f>0.027*M9</f>
        <v>3.6760289400000001</v>
      </c>
      <c r="D34" s="482"/>
      <c r="E34" s="482"/>
      <c r="F34" s="126">
        <v>2.2400000000000002</v>
      </c>
    </row>
    <row r="35" spans="1:8">
      <c r="A35" s="101"/>
      <c r="B35" s="101"/>
      <c r="C35" s="130">
        <v>1.9699999999999999E-2</v>
      </c>
      <c r="D35" s="130">
        <v>1.8E-3</v>
      </c>
      <c r="E35" s="130">
        <v>2.2769999999999999E-2</v>
      </c>
      <c r="F35" s="125"/>
    </row>
    <row r="36" spans="1:8" ht="25.5">
      <c r="A36" s="101" t="s">
        <v>198</v>
      </c>
      <c r="B36" s="101" t="s">
        <v>272</v>
      </c>
      <c r="C36" s="128">
        <f>C35*J9</f>
        <v>1.5416317740000005</v>
      </c>
      <c r="D36" s="128">
        <f>D35*K9</f>
        <v>6.2065619999999981E-2</v>
      </c>
      <c r="E36" s="128">
        <f>E35*L9</f>
        <v>0.53311173300000003</v>
      </c>
      <c r="F36" s="126">
        <f>SUM(C36:E36)</f>
        <v>2.1368091270000007</v>
      </c>
    </row>
    <row r="37" spans="1:8">
      <c r="A37" s="101"/>
      <c r="B37" s="101"/>
      <c r="C37" s="485">
        <v>1.6310000000000002E-2</v>
      </c>
      <c r="D37" s="485"/>
      <c r="E37" s="125">
        <v>1.6199999999999999E-2</v>
      </c>
      <c r="F37" s="125"/>
    </row>
    <row r="38" spans="1:8" ht="25.5">
      <c r="A38" s="101" t="s">
        <v>396</v>
      </c>
      <c r="B38" s="101" t="s">
        <v>272</v>
      </c>
      <c r="C38" s="482">
        <f>C37*(J9+K9)</f>
        <v>1.8387293792000006</v>
      </c>
      <c r="D38" s="482"/>
      <c r="E38" s="128">
        <f>E37*L9</f>
        <v>0.37928898</v>
      </c>
      <c r="F38" s="126">
        <f>SUM(C38:E38)</f>
        <v>2.2180183592000007</v>
      </c>
    </row>
    <row r="39" spans="1:8">
      <c r="A39" s="101"/>
      <c r="B39" s="101"/>
      <c r="C39" s="485" t="s">
        <v>287</v>
      </c>
      <c r="D39" s="485"/>
      <c r="E39" s="485"/>
      <c r="F39" s="125"/>
    </row>
    <row r="40" spans="1:8" ht="51">
      <c r="A40" s="101" t="s">
        <v>199</v>
      </c>
      <c r="B40" s="101" t="s">
        <v>288</v>
      </c>
      <c r="C40" s="482">
        <f>0.0263*G9</f>
        <v>2.0525230099999998</v>
      </c>
      <c r="D40" s="482"/>
      <c r="E40" s="482"/>
      <c r="F40" s="126">
        <v>1.92</v>
      </c>
    </row>
    <row r="41" spans="1:8">
      <c r="A41" s="101"/>
      <c r="B41" s="101"/>
      <c r="C41" s="101"/>
      <c r="D41" s="101"/>
      <c r="E41" s="101"/>
      <c r="F41" s="126">
        <f>SUM(F10:F40)</f>
        <v>24.895967473600003</v>
      </c>
    </row>
    <row r="42" spans="1:8" s="55" customFormat="1" ht="3" customHeight="1">
      <c r="F42" s="135"/>
    </row>
    <row r="43" spans="1:8" s="55" customFormat="1" hidden="1">
      <c r="A43" s="136"/>
      <c r="B43" s="136"/>
      <c r="C43" s="136"/>
      <c r="D43" s="136"/>
      <c r="E43" s="136"/>
      <c r="F43" s="137"/>
    </row>
    <row r="44" spans="1:8" s="55" customFormat="1" ht="3" customHeight="1">
      <c r="A44" s="136"/>
      <c r="B44" s="136"/>
      <c r="C44" s="136"/>
      <c r="D44" s="136"/>
      <c r="E44" s="136"/>
      <c r="F44" s="137"/>
    </row>
    <row r="45" spans="1:8" s="55" customFormat="1">
      <c r="A45" s="486" t="s">
        <v>175</v>
      </c>
      <c r="B45" s="486"/>
      <c r="C45" s="486"/>
      <c r="D45" s="486"/>
      <c r="E45" s="486"/>
      <c r="F45" s="486"/>
      <c r="G45" s="486"/>
      <c r="H45" s="486"/>
    </row>
    <row r="46" spans="1:8" s="55" customFormat="1">
      <c r="A46" s="136"/>
      <c r="B46" s="136"/>
      <c r="C46" s="136"/>
      <c r="D46" s="136"/>
      <c r="E46" s="136"/>
      <c r="F46" s="137"/>
    </row>
    <row r="53" spans="1:7">
      <c r="G53" s="55"/>
    </row>
    <row r="54" spans="1:7" ht="63.75" customHeight="1"/>
    <row r="57" spans="1:7">
      <c r="A57" s="55"/>
      <c r="B57" s="55"/>
      <c r="C57" s="55"/>
      <c r="D57" s="55"/>
      <c r="E57" s="55"/>
      <c r="F57" s="55"/>
    </row>
    <row r="58" spans="1:7">
      <c r="A58" s="55"/>
      <c r="B58" s="55"/>
      <c r="C58" s="55"/>
      <c r="D58" s="55"/>
      <c r="E58" s="55"/>
      <c r="F58" s="55"/>
    </row>
  </sheetData>
  <mergeCells count="29">
    <mergeCell ref="C38:D38"/>
    <mergeCell ref="C39:E39"/>
    <mergeCell ref="C40:E40"/>
    <mergeCell ref="A45:H45"/>
    <mergeCell ref="C30:E30"/>
    <mergeCell ref="C33:E33"/>
    <mergeCell ref="C34:E34"/>
    <mergeCell ref="C37:D37"/>
    <mergeCell ref="C24:E24"/>
    <mergeCell ref="C25:E25"/>
    <mergeCell ref="C26:E26"/>
    <mergeCell ref="C29:E29"/>
    <mergeCell ref="D20:E20"/>
    <mergeCell ref="C21:E21"/>
    <mergeCell ref="C22:E22"/>
    <mergeCell ref="C23:E23"/>
    <mergeCell ref="D13:E13"/>
    <mergeCell ref="D14:E14"/>
    <mergeCell ref="D19:E19"/>
    <mergeCell ref="J6:L6"/>
    <mergeCell ref="C9:E9"/>
    <mergeCell ref="C10:E10"/>
    <mergeCell ref="C11:D11"/>
    <mergeCell ref="C12:D12"/>
    <mergeCell ref="A3:E3"/>
    <mergeCell ref="A4:E4"/>
    <mergeCell ref="A6:A7"/>
    <mergeCell ref="B6:B7"/>
    <mergeCell ref="C6:E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A5" sqref="A5:F40"/>
    </sheetView>
  </sheetViews>
  <sheetFormatPr defaultRowHeight="12.75"/>
  <cols>
    <col min="1" max="1" width="19" customWidth="1"/>
    <col min="2" max="2" width="17.5703125" customWidth="1"/>
    <col min="3" max="3" width="12" customWidth="1"/>
    <col min="4" max="4" width="12.7109375" customWidth="1"/>
    <col min="5" max="5" width="15" customWidth="1"/>
  </cols>
  <sheetData>
    <row r="1" spans="1:15">
      <c r="E1" t="s">
        <v>310</v>
      </c>
    </row>
    <row r="2" spans="1:15" ht="18">
      <c r="A2" s="488" t="s">
        <v>253</v>
      </c>
      <c r="B2" s="488"/>
      <c r="C2" s="488"/>
      <c r="D2" s="488"/>
      <c r="E2" s="488"/>
      <c r="F2" s="118"/>
    </row>
    <row r="3" spans="1:15" ht="15.75">
      <c r="A3" s="488" t="s">
        <v>184</v>
      </c>
      <c r="B3" s="488"/>
      <c r="C3" s="488"/>
      <c r="D3" s="488"/>
      <c r="E3" s="488"/>
      <c r="F3" s="119"/>
      <c r="H3" s="487" t="s">
        <v>390</v>
      </c>
      <c r="I3" s="487"/>
      <c r="J3" s="487"/>
      <c r="K3" s="487"/>
      <c r="L3" s="487"/>
      <c r="M3" s="487"/>
      <c r="N3" s="487"/>
    </row>
    <row r="4" spans="1:15" ht="5.25" customHeight="1">
      <c r="A4" s="120"/>
    </row>
    <row r="5" spans="1:15" ht="24.75" customHeight="1">
      <c r="A5" s="476" t="s">
        <v>254</v>
      </c>
      <c r="B5" s="476" t="s">
        <v>255</v>
      </c>
      <c r="C5" s="489" t="s">
        <v>256</v>
      </c>
      <c r="D5" s="490"/>
      <c r="E5" s="491"/>
      <c r="F5" s="121"/>
      <c r="H5" s="42"/>
      <c r="I5" s="42"/>
      <c r="J5" s="42"/>
      <c r="K5" s="484" t="s">
        <v>257</v>
      </c>
      <c r="L5" s="484"/>
      <c r="M5" s="484"/>
      <c r="N5" s="42"/>
    </row>
    <row r="6" spans="1:15" ht="51">
      <c r="A6" s="477"/>
      <c r="B6" s="477"/>
      <c r="C6" s="101" t="s">
        <v>258</v>
      </c>
      <c r="D6" s="101" t="s">
        <v>297</v>
      </c>
      <c r="E6" s="101" t="s">
        <v>260</v>
      </c>
      <c r="F6" s="101" t="s">
        <v>477</v>
      </c>
      <c r="H6" s="122" t="s">
        <v>261</v>
      </c>
      <c r="I6" s="122" t="s">
        <v>262</v>
      </c>
      <c r="J6" s="122" t="s">
        <v>263</v>
      </c>
      <c r="K6" s="122" t="s">
        <v>264</v>
      </c>
      <c r="L6" s="122" t="s">
        <v>265</v>
      </c>
      <c r="M6" s="122" t="s">
        <v>266</v>
      </c>
      <c r="N6" s="122" t="s">
        <v>433</v>
      </c>
      <c r="O6" s="123"/>
    </row>
    <row r="7" spans="1:1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/>
      <c r="H7" s="42" t="s">
        <v>267</v>
      </c>
      <c r="I7" s="42" t="s">
        <v>267</v>
      </c>
      <c r="J7" s="42" t="s">
        <v>267</v>
      </c>
      <c r="K7" s="42" t="s">
        <v>267</v>
      </c>
      <c r="L7" s="42" t="s">
        <v>267</v>
      </c>
      <c r="M7" s="42" t="s">
        <v>267</v>
      </c>
      <c r="N7" s="42"/>
    </row>
    <row r="8" spans="1:15" ht="12.75" customHeight="1">
      <c r="A8" s="124"/>
      <c r="B8" s="124"/>
      <c r="C8" s="485" t="s">
        <v>268</v>
      </c>
      <c r="D8" s="485"/>
      <c r="E8" s="485"/>
      <c r="F8" s="125"/>
      <c r="H8" s="42">
        <f>SUM(I8:J8)</f>
        <v>78.042699999999996</v>
      </c>
      <c r="I8" s="116">
        <f>57.0227+0.293+1.204+0.892</f>
        <v>59.411700000000003</v>
      </c>
      <c r="J8" s="326">
        <f>([1]р.п.Пышма!$K$1885+'[2]Инф.о площ.помещ.жилого до 1999'!$L$345+'[3]инф.о площ.до 1999г'!$M$191)/1000</f>
        <v>18.631</v>
      </c>
      <c r="K8" s="42">
        <f>([1]подр!$E$2099+[3]Трифон!$F$658+[2]полн.спис!$E$924)/1000</f>
        <v>78.255420000000029</v>
      </c>
      <c r="L8" s="42">
        <f>([1]подр!$E$2100+[2]полн.спис!$E$925+[3]Трифон!$F$659)/1000</f>
        <v>34.480899999999991</v>
      </c>
      <c r="M8" s="42">
        <f>([1]подр!$E$2101+[2]полн.спис!$E$926+[3]Трифон!$F$660)/1000</f>
        <v>23.4129</v>
      </c>
      <c r="N8" s="42">
        <f>SUM(K8:M8)</f>
        <v>136.14922000000001</v>
      </c>
    </row>
    <row r="9" spans="1:15" ht="53.25" customHeight="1">
      <c r="A9" s="101" t="s">
        <v>185</v>
      </c>
      <c r="B9" s="101" t="s">
        <v>269</v>
      </c>
      <c r="C9" s="482">
        <f>0.0595*I8</f>
        <v>3.53499615</v>
      </c>
      <c r="D9" s="482"/>
      <c r="E9" s="482"/>
      <c r="F9" s="126">
        <f>C9</f>
        <v>3.53499615</v>
      </c>
      <c r="L9">
        <v>24.214600000000001</v>
      </c>
      <c r="M9">
        <v>9.2146000000000008</v>
      </c>
    </row>
    <row r="10" spans="1:15" ht="12.75" customHeight="1">
      <c r="A10" s="101"/>
      <c r="B10" s="101"/>
      <c r="C10" s="483" t="s">
        <v>270</v>
      </c>
      <c r="D10" s="483"/>
      <c r="E10" s="127" t="s">
        <v>271</v>
      </c>
      <c r="F10" s="127"/>
    </row>
    <row r="11" spans="1:15" ht="25.5">
      <c r="A11" s="101" t="s">
        <v>186</v>
      </c>
      <c r="B11" s="101" t="s">
        <v>272</v>
      </c>
      <c r="C11" s="482">
        <f>(L8+K8)*0.00376</f>
        <v>0.42388856320000007</v>
      </c>
      <c r="D11" s="482"/>
      <c r="E11" s="128">
        <f>0.00096*L8</f>
        <v>3.3101663999999989E-2</v>
      </c>
      <c r="F11" s="126">
        <f>SUM(C11:E11)</f>
        <v>0.45699022720000004</v>
      </c>
    </row>
    <row r="12" spans="1:15">
      <c r="A12" s="101"/>
      <c r="B12" s="101"/>
      <c r="C12" s="129"/>
      <c r="D12" s="481" t="s">
        <v>273</v>
      </c>
      <c r="E12" s="481"/>
      <c r="F12" s="126"/>
    </row>
    <row r="13" spans="1:15" ht="25.5">
      <c r="A13" s="101" t="s">
        <v>187</v>
      </c>
      <c r="B13" s="101" t="s">
        <v>272</v>
      </c>
      <c r="C13" s="101"/>
      <c r="D13" s="482">
        <f>0.0009*(M8+L8)</f>
        <v>5.2104419999999992E-2</v>
      </c>
      <c r="E13" s="482"/>
      <c r="F13" s="126">
        <f>SUM(C13:E13)</f>
        <v>5.2104419999999992E-2</v>
      </c>
    </row>
    <row r="14" spans="1:15">
      <c r="A14" s="101"/>
      <c r="B14" s="101"/>
      <c r="C14" s="130" t="s">
        <v>274</v>
      </c>
      <c r="D14" s="130" t="s">
        <v>275</v>
      </c>
      <c r="E14" s="101" t="s">
        <v>276</v>
      </c>
      <c r="F14" s="126"/>
    </row>
    <row r="15" spans="1:15" ht="25.5">
      <c r="A15" s="101" t="s">
        <v>188</v>
      </c>
      <c r="B15" s="101" t="s">
        <v>272</v>
      </c>
      <c r="C15" s="128">
        <f>0.0227*K8</f>
        <v>1.7763980340000007</v>
      </c>
      <c r="D15" s="128">
        <f>0.0111*L8</f>
        <v>0.38273798999999992</v>
      </c>
      <c r="E15" s="101"/>
      <c r="F15" s="126">
        <f>SUM(C15:E15)</f>
        <v>2.1591360240000008</v>
      </c>
    </row>
    <row r="16" spans="1:15" ht="12.75" customHeight="1">
      <c r="A16" s="101"/>
      <c r="B16" s="101"/>
      <c r="C16" s="131" t="s">
        <v>277</v>
      </c>
      <c r="D16" s="131" t="s">
        <v>278</v>
      </c>
      <c r="E16" s="131" t="s">
        <v>279</v>
      </c>
      <c r="F16" s="127"/>
    </row>
    <row r="17" spans="1:6" ht="25.5">
      <c r="A17" s="101" t="s">
        <v>189</v>
      </c>
      <c r="B17" s="101" t="s">
        <v>272</v>
      </c>
      <c r="C17" s="128">
        <f>0.02048*K8</f>
        <v>1.6026710016000008</v>
      </c>
      <c r="D17" s="128">
        <f>0.02295*L8</f>
        <v>0.79133665499999983</v>
      </c>
      <c r="E17" s="128">
        <f>0.02485*M8</f>
        <v>0.58181056500000006</v>
      </c>
      <c r="F17" s="126">
        <f>SUM(C17:E17)</f>
        <v>2.9758182216000004</v>
      </c>
    </row>
    <row r="18" spans="1:6">
      <c r="A18" s="101"/>
      <c r="B18" s="101"/>
      <c r="C18" s="132" t="s">
        <v>276</v>
      </c>
      <c r="D18" s="483" t="s">
        <v>280</v>
      </c>
      <c r="E18" s="483"/>
      <c r="F18" s="127"/>
    </row>
    <row r="19" spans="1:6" ht="51">
      <c r="A19" s="101" t="s">
        <v>190</v>
      </c>
      <c r="B19" s="101" t="s">
        <v>272</v>
      </c>
      <c r="C19" s="101"/>
      <c r="D19" s="482">
        <f>(M8+L8)*0.00612</f>
        <v>0.35431005599999993</v>
      </c>
      <c r="E19" s="482"/>
      <c r="F19" s="126">
        <f>D19</f>
        <v>0.35431005599999993</v>
      </c>
    </row>
    <row r="20" spans="1:6" ht="12.75" customHeight="1">
      <c r="A20" s="101"/>
      <c r="B20" s="101"/>
      <c r="C20" s="485" t="s">
        <v>281</v>
      </c>
      <c r="D20" s="485"/>
      <c r="E20" s="485"/>
      <c r="F20" s="125"/>
    </row>
    <row r="21" spans="1:6" ht="25.5">
      <c r="A21" s="101" t="s">
        <v>191</v>
      </c>
      <c r="B21" s="101" t="s">
        <v>272</v>
      </c>
      <c r="C21" s="482">
        <f>0.0043*N8</f>
        <v>0.58544164600000004</v>
      </c>
      <c r="D21" s="482"/>
      <c r="E21" s="482"/>
      <c r="F21" s="126">
        <f>C21</f>
        <v>0.58544164600000004</v>
      </c>
    </row>
    <row r="22" spans="1:6">
      <c r="A22" s="101"/>
      <c r="B22" s="101"/>
      <c r="C22" s="485" t="s">
        <v>282</v>
      </c>
      <c r="D22" s="485"/>
      <c r="E22" s="485"/>
      <c r="F22" s="125"/>
    </row>
    <row r="23" spans="1:6" ht="38.25">
      <c r="A23" s="101" t="s">
        <v>192</v>
      </c>
      <c r="B23" s="101" t="s">
        <v>272</v>
      </c>
      <c r="C23" s="482">
        <f>0.00046*N8</f>
        <v>6.2628641200000001E-2</v>
      </c>
      <c r="D23" s="482"/>
      <c r="E23" s="482"/>
      <c r="F23" s="126">
        <f>C23</f>
        <v>6.2628641200000001E-2</v>
      </c>
    </row>
    <row r="24" spans="1:6">
      <c r="A24" s="101"/>
      <c r="B24" s="101"/>
      <c r="C24" s="485" t="s">
        <v>283</v>
      </c>
      <c r="D24" s="485"/>
      <c r="E24" s="485"/>
      <c r="F24" s="125"/>
    </row>
    <row r="25" spans="1:6" ht="37.5" customHeight="1">
      <c r="A25" s="101" t="s">
        <v>193</v>
      </c>
      <c r="B25" s="101" t="s">
        <v>284</v>
      </c>
      <c r="C25" s="482" t="e">
        <f>0.0068*#REF!</f>
        <v>#REF!</v>
      </c>
      <c r="D25" s="482"/>
      <c r="E25" s="482"/>
      <c r="F25" s="126" t="e">
        <f>C25</f>
        <v>#REF!</v>
      </c>
    </row>
    <row r="26" spans="1:6" ht="12.75" customHeight="1">
      <c r="A26" s="101"/>
      <c r="B26" s="101"/>
      <c r="C26" s="130">
        <v>3.065E-2</v>
      </c>
      <c r="D26" s="130">
        <v>5.3899999999999998E-3</v>
      </c>
      <c r="E26" s="130">
        <v>3.4869999999999998E-2</v>
      </c>
      <c r="F26" s="125"/>
    </row>
    <row r="27" spans="1:6" ht="25.5">
      <c r="A27" s="101" t="s">
        <v>194</v>
      </c>
      <c r="B27" s="101" t="s">
        <v>272</v>
      </c>
      <c r="C27" s="133">
        <f>C26*K8</f>
        <v>2.3985286230000007</v>
      </c>
      <c r="D27" s="133">
        <f>D26*L8</f>
        <v>0.18585205099999993</v>
      </c>
      <c r="E27" s="133">
        <f>E26*M8</f>
        <v>0.81640782299999992</v>
      </c>
      <c r="F27" s="134">
        <f>SUM(C27:E27)</f>
        <v>3.4007884970000006</v>
      </c>
    </row>
    <row r="28" spans="1:6">
      <c r="A28" s="101"/>
      <c r="B28" s="101"/>
      <c r="C28" s="485" t="s">
        <v>285</v>
      </c>
      <c r="D28" s="485"/>
      <c r="E28" s="485"/>
      <c r="F28" s="125"/>
    </row>
    <row r="29" spans="1:6" s="55" customFormat="1" ht="26.25" customHeight="1">
      <c r="A29" s="101" t="s">
        <v>195</v>
      </c>
      <c r="B29" s="101" t="s">
        <v>272</v>
      </c>
      <c r="C29" s="482">
        <f>0.0008*N8</f>
        <v>0.10891937600000001</v>
      </c>
      <c r="D29" s="482"/>
      <c r="E29" s="482"/>
      <c r="F29" s="126">
        <v>0.06</v>
      </c>
    </row>
    <row r="30" spans="1:6">
      <c r="A30" s="101"/>
      <c r="B30" s="101"/>
      <c r="C30" s="130">
        <v>2.4930000000000001E-2</v>
      </c>
      <c r="D30" s="130">
        <v>8.8800000000000007E-3</v>
      </c>
      <c r="E30" s="130">
        <v>4.1849999999999998E-2</v>
      </c>
      <c r="F30" s="125"/>
    </row>
    <row r="31" spans="1:6" ht="25.5">
      <c r="A31" s="101" t="s">
        <v>196</v>
      </c>
      <c r="B31" s="101" t="s">
        <v>272</v>
      </c>
      <c r="C31" s="128">
        <f>C30*K8</f>
        <v>1.9509076206000009</v>
      </c>
      <c r="D31" s="128">
        <f>D30*L8</f>
        <v>0.30619039199999992</v>
      </c>
      <c r="E31" s="128">
        <f>M8*E30</f>
        <v>0.97982986500000002</v>
      </c>
      <c r="F31" s="126">
        <f>SUM(C31:E31)</f>
        <v>3.2369278776000008</v>
      </c>
    </row>
    <row r="32" spans="1:6" ht="12.75" customHeight="1">
      <c r="A32" s="101"/>
      <c r="B32" s="101"/>
      <c r="C32" s="485" t="s">
        <v>286</v>
      </c>
      <c r="D32" s="485"/>
      <c r="E32" s="485"/>
      <c r="F32" s="125"/>
    </row>
    <row r="33" spans="1:8" ht="25.5">
      <c r="A33" s="101" t="s">
        <v>197</v>
      </c>
      <c r="B33" s="101" t="s">
        <v>272</v>
      </c>
      <c r="C33" s="482">
        <f>0.027*N8</f>
        <v>3.6760289400000001</v>
      </c>
      <c r="D33" s="482"/>
      <c r="E33" s="482"/>
      <c r="F33" s="126">
        <f>C33</f>
        <v>3.6760289400000001</v>
      </c>
    </row>
    <row r="34" spans="1:8" ht="12.75" customHeight="1">
      <c r="A34" s="101"/>
      <c r="B34" s="101"/>
      <c r="C34" s="130">
        <v>1.9699999999999999E-2</v>
      </c>
      <c r="D34" s="130">
        <v>1.8E-3</v>
      </c>
      <c r="E34" s="130">
        <v>2.2769999999999999E-2</v>
      </c>
      <c r="F34" s="125"/>
    </row>
    <row r="35" spans="1:8" ht="35.25" customHeight="1">
      <c r="A35" s="101" t="s">
        <v>198</v>
      </c>
      <c r="B35" s="101" t="s">
        <v>272</v>
      </c>
      <c r="C35" s="128">
        <f>C34*K8</f>
        <v>1.5416317740000005</v>
      </c>
      <c r="D35" s="128">
        <f>D34*L8</f>
        <v>6.2065619999999981E-2</v>
      </c>
      <c r="E35" s="128">
        <f>E34*M8</f>
        <v>0.53311173300000003</v>
      </c>
      <c r="F35" s="126">
        <f>SUM(C35:E35)</f>
        <v>2.1368091270000007</v>
      </c>
      <c r="G35" s="55"/>
      <c r="H35" s="55"/>
    </row>
    <row r="36" spans="1:8" ht="12" customHeight="1">
      <c r="A36" s="101"/>
      <c r="B36" s="101"/>
      <c r="C36" s="485">
        <v>1.6310000000000002E-2</v>
      </c>
      <c r="D36" s="485"/>
      <c r="E36" s="125">
        <v>1.6199999999999999E-2</v>
      </c>
      <c r="F36" s="125"/>
    </row>
    <row r="37" spans="1:8" ht="25.5">
      <c r="A37" s="101" t="s">
        <v>396</v>
      </c>
      <c r="B37" s="101" t="s">
        <v>272</v>
      </c>
      <c r="C37" s="482">
        <f>C36*(L8+K8)</f>
        <v>1.8387293792000006</v>
      </c>
      <c r="D37" s="482"/>
      <c r="E37" s="128">
        <f>E36*M8</f>
        <v>0.37928898</v>
      </c>
      <c r="F37" s="126">
        <f>SUM(C37:E37)</f>
        <v>2.2180183592000007</v>
      </c>
    </row>
    <row r="38" spans="1:8">
      <c r="A38" s="101"/>
      <c r="B38" s="101"/>
      <c r="C38" s="485" t="s">
        <v>287</v>
      </c>
      <c r="D38" s="485"/>
      <c r="E38" s="485"/>
      <c r="F38" s="125"/>
    </row>
    <row r="39" spans="1:8" ht="51">
      <c r="A39" s="101" t="s">
        <v>199</v>
      </c>
      <c r="B39" s="101" t="s">
        <v>288</v>
      </c>
      <c r="C39" s="482">
        <f>0.0263*H8</f>
        <v>2.0525230099999998</v>
      </c>
      <c r="D39" s="482"/>
      <c r="E39" s="482"/>
      <c r="F39" s="126">
        <f>C39</f>
        <v>2.0525230099999998</v>
      </c>
      <c r="H39" s="55"/>
    </row>
    <row r="40" spans="1:8">
      <c r="A40" s="42"/>
      <c r="B40" s="42"/>
      <c r="C40" s="42"/>
      <c r="D40" s="42"/>
      <c r="E40" s="42"/>
      <c r="F40" s="368" t="e">
        <f>F9+F11+F13+F15+F17+F19+F21+F23+F25+F27+F29+F31+F33+F35+F37+F39</f>
        <v>#REF!</v>
      </c>
    </row>
    <row r="42" spans="1:8">
      <c r="E42" t="s">
        <v>309</v>
      </c>
    </row>
    <row r="44" spans="1:8">
      <c r="A44" s="374" t="s">
        <v>175</v>
      </c>
      <c r="B44" s="374"/>
      <c r="C44" s="374"/>
      <c r="D44" s="374"/>
      <c r="E44" s="374"/>
      <c r="F44" s="374"/>
      <c r="G44" s="374"/>
      <c r="H44" s="374"/>
    </row>
  </sheetData>
  <mergeCells count="29">
    <mergeCell ref="C36:D36"/>
    <mergeCell ref="C37:D37"/>
    <mergeCell ref="C38:E38"/>
    <mergeCell ref="C39:E39"/>
    <mergeCell ref="C22:E22"/>
    <mergeCell ref="C23:E23"/>
    <mergeCell ref="C24:E24"/>
    <mergeCell ref="C25:E25"/>
    <mergeCell ref="C32:E32"/>
    <mergeCell ref="C28:E28"/>
    <mergeCell ref="C29:E29"/>
    <mergeCell ref="C33:E33"/>
    <mergeCell ref="C20:E20"/>
    <mergeCell ref="C21:E21"/>
    <mergeCell ref="C8:E8"/>
    <mergeCell ref="C9:E9"/>
    <mergeCell ref="C10:D10"/>
    <mergeCell ref="C11:D11"/>
    <mergeCell ref="D12:E12"/>
    <mergeCell ref="D13:E13"/>
    <mergeCell ref="D18:E18"/>
    <mergeCell ref="D19:E19"/>
    <mergeCell ref="H3:N3"/>
    <mergeCell ref="A2:E2"/>
    <mergeCell ref="A3:E3"/>
    <mergeCell ref="A5:A6"/>
    <mergeCell ref="B5:B6"/>
    <mergeCell ref="C5:E5"/>
    <mergeCell ref="K5:M5"/>
  </mergeCells>
  <phoneticPr fontId="2" type="noConversion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H61"/>
  <sheetViews>
    <sheetView workbookViewId="0">
      <selection activeCell="L42" sqref="L42"/>
    </sheetView>
  </sheetViews>
  <sheetFormatPr defaultRowHeight="12.75"/>
  <cols>
    <col min="1" max="1" width="5.5703125" customWidth="1"/>
    <col min="2" max="2" width="33.42578125" customWidth="1"/>
    <col min="3" max="4" width="0.140625" hidden="1" customWidth="1"/>
    <col min="5" max="5" width="23" customWidth="1"/>
    <col min="6" max="6" width="3.5703125" hidden="1" customWidth="1"/>
    <col min="7" max="7" width="13.140625" hidden="1" customWidth="1"/>
    <col min="8" max="8" width="15.140625" style="73" customWidth="1"/>
  </cols>
  <sheetData>
    <row r="1" spans="1:8">
      <c r="A1" s="2"/>
      <c r="B1" s="2"/>
      <c r="C1" s="2"/>
      <c r="D1" s="2"/>
      <c r="E1" s="497" t="s">
        <v>397</v>
      </c>
      <c r="F1" s="497"/>
      <c r="G1" s="497"/>
      <c r="H1" s="497"/>
    </row>
    <row r="2" spans="1:8">
      <c r="A2" s="2"/>
      <c r="B2" s="2"/>
      <c r="C2" s="2"/>
      <c r="D2" s="2"/>
      <c r="E2" s="497" t="s">
        <v>207</v>
      </c>
      <c r="F2" s="497"/>
      <c r="G2" s="497"/>
      <c r="H2" s="497"/>
    </row>
    <row r="3" spans="1:8">
      <c r="A3" s="2"/>
      <c r="B3" s="2"/>
      <c r="C3" s="2"/>
      <c r="D3" s="2"/>
      <c r="E3" s="497" t="s">
        <v>373</v>
      </c>
      <c r="F3" s="497"/>
      <c r="G3" s="497"/>
      <c r="H3" s="497"/>
    </row>
    <row r="4" spans="1:8">
      <c r="A4" s="2"/>
      <c r="B4" s="2"/>
      <c r="C4" s="2"/>
      <c r="D4" s="2"/>
      <c r="E4" s="497" t="s">
        <v>374</v>
      </c>
      <c r="F4" s="497"/>
      <c r="G4" s="497"/>
      <c r="H4" s="497"/>
    </row>
    <row r="5" spans="1:8">
      <c r="A5" s="2"/>
      <c r="B5" s="2"/>
      <c r="C5" s="2"/>
      <c r="D5" s="2"/>
      <c r="E5" s="325"/>
      <c r="F5" s="325"/>
      <c r="G5" s="325"/>
      <c r="H5" s="325"/>
    </row>
    <row r="6" spans="1:8">
      <c r="A6" s="2"/>
      <c r="B6" s="2"/>
      <c r="C6" s="2"/>
      <c r="D6" s="2"/>
      <c r="E6" s="325"/>
      <c r="F6" s="325"/>
      <c r="G6" s="325"/>
      <c r="H6" s="325"/>
    </row>
    <row r="7" spans="1:8">
      <c r="A7" s="2"/>
      <c r="B7" s="2"/>
      <c r="C7" s="2"/>
      <c r="D7" s="2"/>
      <c r="E7" s="324"/>
      <c r="F7" s="324"/>
      <c r="G7" s="324"/>
    </row>
    <row r="8" spans="1:8" ht="15.75">
      <c r="A8" s="473" t="s">
        <v>375</v>
      </c>
      <c r="B8" s="473"/>
      <c r="C8" s="473"/>
      <c r="D8" s="473"/>
      <c r="E8" s="473"/>
      <c r="F8" s="473"/>
      <c r="G8" s="473"/>
    </row>
    <row r="9" spans="1:8" ht="15.75">
      <c r="A9" s="496" t="s">
        <v>376</v>
      </c>
      <c r="B9" s="496"/>
      <c r="C9" s="496"/>
      <c r="D9" s="496"/>
      <c r="E9" s="496"/>
      <c r="F9" s="496"/>
      <c r="G9" s="496"/>
    </row>
    <row r="10" spans="1:8" ht="15.75">
      <c r="A10" s="327"/>
      <c r="B10" s="327"/>
      <c r="C10" s="327"/>
      <c r="D10" s="327"/>
      <c r="E10" s="327"/>
      <c r="F10" s="327"/>
      <c r="G10" s="327"/>
    </row>
    <row r="11" spans="1:8" ht="24" customHeight="1">
      <c r="A11" s="147" t="s">
        <v>399</v>
      </c>
      <c r="B11" s="148" t="s">
        <v>400</v>
      </c>
      <c r="C11" s="149" t="s">
        <v>401</v>
      </c>
      <c r="D11" s="147" t="s">
        <v>402</v>
      </c>
      <c r="E11" s="147" t="s">
        <v>368</v>
      </c>
      <c r="F11" s="147"/>
      <c r="G11" s="147" t="s">
        <v>403</v>
      </c>
      <c r="H11" s="147" t="s">
        <v>403</v>
      </c>
    </row>
    <row r="12" spans="1:8" ht="12" customHeight="1">
      <c r="A12" s="147" t="s">
        <v>109</v>
      </c>
      <c r="B12" s="151" t="s">
        <v>132</v>
      </c>
      <c r="C12" s="154"/>
      <c r="D12" s="147"/>
      <c r="E12" s="153" t="s">
        <v>377</v>
      </c>
      <c r="F12" s="147"/>
      <c r="G12" s="329">
        <v>2246965.56</v>
      </c>
      <c r="H12" s="341">
        <f>2983703-H26</f>
        <v>2732333</v>
      </c>
    </row>
    <row r="13" spans="1:8" ht="1.5" hidden="1" customHeight="1">
      <c r="A13" s="147"/>
      <c r="B13" s="152" t="s">
        <v>404</v>
      </c>
      <c r="C13" s="153">
        <v>1</v>
      </c>
      <c r="D13" s="154">
        <v>24576.65</v>
      </c>
      <c r="E13" s="340">
        <f>D13*106.5%</f>
        <v>26174.132249999999</v>
      </c>
      <c r="F13" s="323">
        <v>12</v>
      </c>
      <c r="G13" s="328">
        <f>E13*F13</f>
        <v>314089.587</v>
      </c>
      <c r="H13" s="342"/>
    </row>
    <row r="14" spans="1:8" ht="25.5" hidden="1">
      <c r="A14" s="147"/>
      <c r="B14" s="152" t="s">
        <v>405</v>
      </c>
      <c r="C14" s="153">
        <v>1</v>
      </c>
      <c r="D14" s="154">
        <v>13322.75</v>
      </c>
      <c r="E14" s="340">
        <f t="shared" ref="E14:E24" si="0">D14*106.5%</f>
        <v>14188.728749999998</v>
      </c>
      <c r="F14" s="323">
        <v>12</v>
      </c>
      <c r="G14" s="328">
        <f t="shared" ref="G14:G25" si="1">E14*F14</f>
        <v>170264.745</v>
      </c>
      <c r="H14" s="342"/>
    </row>
    <row r="15" spans="1:8" hidden="1">
      <c r="A15" s="147"/>
      <c r="B15" s="152" t="s">
        <v>406</v>
      </c>
      <c r="C15" s="153">
        <v>1</v>
      </c>
      <c r="D15" s="154">
        <v>11786.81</v>
      </c>
      <c r="E15" s="340">
        <f t="shared" si="0"/>
        <v>12552.952649999999</v>
      </c>
      <c r="F15" s="323">
        <v>12</v>
      </c>
      <c r="G15" s="328">
        <f t="shared" si="1"/>
        <v>150635.43179999999</v>
      </c>
      <c r="H15" s="342"/>
    </row>
    <row r="16" spans="1:8" ht="25.5" hidden="1">
      <c r="A16" s="147"/>
      <c r="B16" s="152" t="s">
        <v>407</v>
      </c>
      <c r="C16" s="153">
        <v>1</v>
      </c>
      <c r="D16" s="154">
        <v>11786.81</v>
      </c>
      <c r="E16" s="340">
        <f t="shared" si="0"/>
        <v>12552.952649999999</v>
      </c>
      <c r="F16" s="323">
        <v>12</v>
      </c>
      <c r="G16" s="328">
        <f t="shared" si="1"/>
        <v>150635.43179999999</v>
      </c>
      <c r="H16" s="342"/>
    </row>
    <row r="17" spans="1:8" hidden="1">
      <c r="A17" s="147"/>
      <c r="B17" s="152" t="s">
        <v>129</v>
      </c>
      <c r="C17" s="153">
        <v>1</v>
      </c>
      <c r="D17" s="154">
        <v>19233.060000000001</v>
      </c>
      <c r="E17" s="340">
        <f t="shared" si="0"/>
        <v>20483.208900000001</v>
      </c>
      <c r="F17" s="323">
        <v>12</v>
      </c>
      <c r="G17" s="328">
        <f t="shared" si="1"/>
        <v>245798.50680000003</v>
      </c>
      <c r="H17" s="342"/>
    </row>
    <row r="18" spans="1:8" hidden="1">
      <c r="A18" s="147"/>
      <c r="B18" s="152" t="s">
        <v>408</v>
      </c>
      <c r="C18" s="153">
        <v>1</v>
      </c>
      <c r="D18" s="154">
        <v>13322.75</v>
      </c>
      <c r="E18" s="340">
        <f t="shared" si="0"/>
        <v>14188.728749999998</v>
      </c>
      <c r="F18" s="323">
        <v>12</v>
      </c>
      <c r="G18" s="328">
        <f t="shared" si="1"/>
        <v>170264.745</v>
      </c>
      <c r="H18" s="342"/>
    </row>
    <row r="19" spans="1:8" hidden="1">
      <c r="A19" s="147"/>
      <c r="B19" s="152" t="s">
        <v>130</v>
      </c>
      <c r="C19" s="153">
        <v>1</v>
      </c>
      <c r="D19" s="154">
        <v>15059.94</v>
      </c>
      <c r="E19" s="340">
        <f t="shared" si="0"/>
        <v>16038.8361</v>
      </c>
      <c r="F19" s="323">
        <v>12</v>
      </c>
      <c r="G19" s="328">
        <f t="shared" si="1"/>
        <v>192466.03320000001</v>
      </c>
      <c r="H19" s="342"/>
    </row>
    <row r="20" spans="1:8" hidden="1">
      <c r="A20" s="147"/>
      <c r="B20" s="155" t="s">
        <v>409</v>
      </c>
      <c r="C20" s="153">
        <v>1</v>
      </c>
      <c r="D20" s="154">
        <v>11786.81</v>
      </c>
      <c r="E20" s="340">
        <f t="shared" si="0"/>
        <v>12552.952649999999</v>
      </c>
      <c r="F20" s="323">
        <v>12</v>
      </c>
      <c r="G20" s="328">
        <f t="shared" si="1"/>
        <v>150635.43179999999</v>
      </c>
      <c r="H20" s="342"/>
    </row>
    <row r="21" spans="1:8" hidden="1">
      <c r="A21" s="147"/>
      <c r="B21" s="155" t="s">
        <v>131</v>
      </c>
      <c r="C21" s="153">
        <v>1</v>
      </c>
      <c r="D21" s="154">
        <v>13322.75</v>
      </c>
      <c r="E21" s="340">
        <f t="shared" si="0"/>
        <v>14188.728749999998</v>
      </c>
      <c r="F21" s="323">
        <v>12</v>
      </c>
      <c r="G21" s="328">
        <f t="shared" si="1"/>
        <v>170264.745</v>
      </c>
      <c r="H21" s="342"/>
    </row>
    <row r="22" spans="1:8" ht="25.5" hidden="1">
      <c r="A22" s="147"/>
      <c r="B22" s="156" t="s">
        <v>410</v>
      </c>
      <c r="C22" s="153">
        <v>2</v>
      </c>
      <c r="D22" s="154">
        <v>10418.31</v>
      </c>
      <c r="E22" s="340">
        <f t="shared" si="0"/>
        <v>11095.500149999998</v>
      </c>
      <c r="F22" s="323">
        <v>12</v>
      </c>
      <c r="G22" s="328">
        <f t="shared" si="1"/>
        <v>133146.00179999997</v>
      </c>
      <c r="H22" s="342"/>
    </row>
    <row r="23" spans="1:8" hidden="1">
      <c r="A23" s="147"/>
      <c r="B23" s="156" t="s">
        <v>411</v>
      </c>
      <c r="C23" s="153">
        <v>1</v>
      </c>
      <c r="D23" s="154">
        <v>7212.8</v>
      </c>
      <c r="E23" s="340">
        <f t="shared" si="0"/>
        <v>7681.6319999999996</v>
      </c>
      <c r="F23" s="323">
        <v>12</v>
      </c>
      <c r="G23" s="328">
        <f t="shared" si="1"/>
        <v>92179.584000000003</v>
      </c>
      <c r="H23" s="342"/>
    </row>
    <row r="24" spans="1:8" hidden="1">
      <c r="A24" s="147"/>
      <c r="B24" s="152" t="s">
        <v>395</v>
      </c>
      <c r="C24" s="153">
        <v>1</v>
      </c>
      <c r="D24" s="154">
        <v>11076.8</v>
      </c>
      <c r="E24" s="340">
        <f t="shared" si="0"/>
        <v>11796.791999999999</v>
      </c>
      <c r="F24" s="323">
        <v>12</v>
      </c>
      <c r="G24" s="328">
        <f t="shared" si="1"/>
        <v>141561.50399999999</v>
      </c>
      <c r="H24" s="342"/>
    </row>
    <row r="25" spans="1:8" ht="0.75" hidden="1" customHeight="1">
      <c r="A25" s="147"/>
      <c r="B25" s="152" t="s">
        <v>412</v>
      </c>
      <c r="C25" s="153">
        <v>0.5</v>
      </c>
      <c r="D25" s="154">
        <v>4979.5</v>
      </c>
      <c r="E25" s="340"/>
      <c r="F25" s="323">
        <v>12</v>
      </c>
      <c r="G25" s="328">
        <f t="shared" si="1"/>
        <v>0</v>
      </c>
      <c r="H25" s="342"/>
    </row>
    <row r="26" spans="1:8">
      <c r="A26" s="147">
        <v>2</v>
      </c>
      <c r="B26" s="151" t="s">
        <v>119</v>
      </c>
      <c r="C26" s="153"/>
      <c r="D26" s="154"/>
      <c r="E26" s="340" t="s">
        <v>378</v>
      </c>
      <c r="F26" s="154"/>
      <c r="G26" s="328">
        <v>178798.31</v>
      </c>
      <c r="H26" s="341">
        <v>251370</v>
      </c>
    </row>
    <row r="27" spans="1:8">
      <c r="A27" s="147">
        <v>3</v>
      </c>
      <c r="B27" s="151" t="s">
        <v>379</v>
      </c>
      <c r="C27" s="154"/>
      <c r="D27" s="147"/>
      <c r="E27" s="147"/>
      <c r="F27" s="147"/>
      <c r="G27" s="329">
        <v>829611.24</v>
      </c>
      <c r="H27" s="341">
        <v>901079</v>
      </c>
    </row>
    <row r="28" spans="1:8" ht="13.5" customHeight="1">
      <c r="A28" s="147">
        <v>4</v>
      </c>
      <c r="B28" s="151" t="s">
        <v>369</v>
      </c>
      <c r="C28" s="154"/>
      <c r="D28" s="147"/>
      <c r="E28" s="147"/>
      <c r="F28" s="147"/>
      <c r="G28" s="329">
        <f>G29+G30+G31+G32+G33</f>
        <v>78470.720000000001</v>
      </c>
      <c r="H28" s="341">
        <f>H29+H31+H32</f>
        <v>48825</v>
      </c>
    </row>
    <row r="29" spans="1:8">
      <c r="A29" s="147"/>
      <c r="B29" s="157" t="s">
        <v>413</v>
      </c>
      <c r="C29" s="498" t="s">
        <v>380</v>
      </c>
      <c r="D29" s="498"/>
      <c r="E29" s="498"/>
      <c r="F29" s="498"/>
      <c r="G29" s="343">
        <v>12630.72</v>
      </c>
      <c r="H29" s="342">
        <v>20065</v>
      </c>
    </row>
    <row r="30" spans="1:8" hidden="1">
      <c r="A30" s="147"/>
      <c r="B30" s="157" t="s">
        <v>414</v>
      </c>
      <c r="C30" s="154"/>
      <c r="D30" s="153"/>
      <c r="E30" s="153"/>
      <c r="F30" s="153"/>
      <c r="G30" s="343">
        <v>20000</v>
      </c>
      <c r="H30" s="342"/>
    </row>
    <row r="31" spans="1:8">
      <c r="A31" s="147"/>
      <c r="B31" s="330" t="s">
        <v>415</v>
      </c>
      <c r="C31" s="492" t="s">
        <v>120</v>
      </c>
      <c r="D31" s="492"/>
      <c r="E31" s="492"/>
      <c r="F31" s="492"/>
      <c r="G31" s="343">
        <v>23760</v>
      </c>
      <c r="H31" s="342">
        <v>23760</v>
      </c>
    </row>
    <row r="32" spans="1:8" ht="17.25" customHeight="1">
      <c r="A32" s="147"/>
      <c r="B32" s="157" t="s">
        <v>421</v>
      </c>
      <c r="C32" s="154"/>
      <c r="D32" s="153"/>
      <c r="E32" s="153"/>
      <c r="F32" s="153"/>
      <c r="G32" s="343">
        <v>15000</v>
      </c>
      <c r="H32" s="342">
        <v>5000</v>
      </c>
    </row>
    <row r="33" spans="1:8" hidden="1">
      <c r="A33" s="147"/>
      <c r="B33" s="157" t="s">
        <v>420</v>
      </c>
      <c r="C33" s="154"/>
      <c r="D33" s="147"/>
      <c r="E33" s="147"/>
      <c r="F33" s="147"/>
      <c r="G33" s="343">
        <v>7080</v>
      </c>
      <c r="H33" s="342"/>
    </row>
    <row r="34" spans="1:8">
      <c r="A34" s="147">
        <v>5</v>
      </c>
      <c r="B34" s="331" t="s">
        <v>370</v>
      </c>
      <c r="C34" s="323"/>
      <c r="D34" s="323"/>
      <c r="E34" s="323"/>
      <c r="F34" s="323"/>
      <c r="G34" s="333">
        <v>222690.8</v>
      </c>
      <c r="H34" s="341">
        <v>152150</v>
      </c>
    </row>
    <row r="35" spans="1:8">
      <c r="A35" s="147"/>
      <c r="B35" s="330" t="s">
        <v>298</v>
      </c>
      <c r="C35" s="323"/>
      <c r="D35" s="323"/>
      <c r="E35" s="323" t="s">
        <v>381</v>
      </c>
      <c r="F35" s="323"/>
      <c r="G35" s="333"/>
      <c r="H35" s="344">
        <v>85659.49</v>
      </c>
    </row>
    <row r="36" spans="1:8">
      <c r="A36" s="147"/>
      <c r="B36" s="330" t="s">
        <v>382</v>
      </c>
      <c r="C36" s="323"/>
      <c r="D36" s="323"/>
      <c r="E36" s="323" t="s">
        <v>383</v>
      </c>
      <c r="F36" s="323"/>
      <c r="G36" s="333"/>
      <c r="H36" s="344">
        <v>37260</v>
      </c>
    </row>
    <row r="37" spans="1:8">
      <c r="A37" s="147"/>
      <c r="B37" s="330" t="s">
        <v>384</v>
      </c>
      <c r="C37" s="323"/>
      <c r="D37" s="323"/>
      <c r="E37" s="323"/>
      <c r="F37" s="323"/>
      <c r="G37" s="333"/>
      <c r="H37" s="344">
        <f>H34-H35-H36-10000</f>
        <v>19230.509999999995</v>
      </c>
    </row>
    <row r="38" spans="1:8" ht="15.75" customHeight="1">
      <c r="A38" s="147">
        <v>6</v>
      </c>
      <c r="B38" s="332" t="s">
        <v>371</v>
      </c>
      <c r="C38" s="323"/>
      <c r="D38" s="323"/>
      <c r="E38" s="323"/>
      <c r="F38" s="323"/>
      <c r="G38" s="333">
        <f>G39+G40+G41+G42+G43</f>
        <v>148340.25</v>
      </c>
      <c r="H38" s="345">
        <f>H39+H40+H41+H42+H43</f>
        <v>170000</v>
      </c>
    </row>
    <row r="39" spans="1:8" hidden="1">
      <c r="A39" s="147"/>
      <c r="B39" s="157"/>
      <c r="C39" s="493"/>
      <c r="D39" s="494"/>
      <c r="E39" s="494"/>
      <c r="F39" s="495"/>
      <c r="G39" s="343"/>
      <c r="H39" s="342"/>
    </row>
    <row r="40" spans="1:8" ht="14.25" customHeight="1">
      <c r="A40" s="147"/>
      <c r="B40" s="157" t="s">
        <v>416</v>
      </c>
      <c r="C40" s="154"/>
      <c r="D40" s="147"/>
      <c r="E40" s="150"/>
      <c r="F40" s="150"/>
      <c r="G40" s="343">
        <v>20340.25</v>
      </c>
      <c r="H40" s="342">
        <v>21000</v>
      </c>
    </row>
    <row r="41" spans="1:8">
      <c r="A41" s="147"/>
      <c r="B41" s="157" t="s">
        <v>417</v>
      </c>
      <c r="C41" s="154"/>
      <c r="D41" s="147"/>
      <c r="E41" s="150"/>
      <c r="F41" s="150"/>
      <c r="G41" s="343">
        <v>9000</v>
      </c>
      <c r="H41" s="342">
        <v>9000</v>
      </c>
    </row>
    <row r="42" spans="1:8">
      <c r="A42" s="158"/>
      <c r="B42" s="157" t="s">
        <v>423</v>
      </c>
      <c r="C42" s="154"/>
      <c r="D42" s="147"/>
      <c r="E42" s="147"/>
      <c r="F42" s="147"/>
      <c r="G42" s="343">
        <v>50000</v>
      </c>
      <c r="H42" s="342">
        <v>30000</v>
      </c>
    </row>
    <row r="43" spans="1:8" ht="25.5">
      <c r="A43" s="147"/>
      <c r="B43" s="157" t="s">
        <v>425</v>
      </c>
      <c r="C43" s="154"/>
      <c r="D43" s="147"/>
      <c r="E43" s="147"/>
      <c r="F43" s="147"/>
      <c r="G43" s="343">
        <v>69000</v>
      </c>
      <c r="H43" s="342">
        <v>110000</v>
      </c>
    </row>
    <row r="44" spans="1:8" s="346" customFormat="1">
      <c r="A44" s="147">
        <v>7</v>
      </c>
      <c r="B44" s="151" t="s">
        <v>372</v>
      </c>
      <c r="C44" s="149"/>
      <c r="D44" s="147"/>
      <c r="E44" s="150"/>
      <c r="F44" s="150"/>
      <c r="G44" s="333">
        <f>G45+G46+G47+G49+G50+G51+G52+G53+G54+G55+G56</f>
        <v>740648</v>
      </c>
      <c r="H44" s="345">
        <f>H45+H46+H47+H49+H50+H51+H52+H53+H54+H55+H56+H48</f>
        <v>875000</v>
      </c>
    </row>
    <row r="45" spans="1:8">
      <c r="A45" s="147"/>
      <c r="B45" s="157" t="s">
        <v>418</v>
      </c>
      <c r="C45" s="154"/>
      <c r="D45" s="147"/>
      <c r="E45" s="150"/>
      <c r="F45" s="150"/>
      <c r="G45" s="343">
        <v>20000</v>
      </c>
      <c r="H45" s="342">
        <v>20000</v>
      </c>
    </row>
    <row r="46" spans="1:8">
      <c r="A46" s="147"/>
      <c r="B46" s="157" t="s">
        <v>419</v>
      </c>
      <c r="C46" s="154"/>
      <c r="D46" s="154"/>
      <c r="E46" s="154"/>
      <c r="F46" s="154"/>
      <c r="G46" s="347">
        <v>20000</v>
      </c>
      <c r="H46" s="342">
        <v>20000</v>
      </c>
    </row>
    <row r="47" spans="1:8">
      <c r="A47" s="147"/>
      <c r="B47" s="157" t="s">
        <v>422</v>
      </c>
      <c r="C47" s="154"/>
      <c r="D47" s="154"/>
      <c r="E47" s="154"/>
      <c r="F47" s="154"/>
      <c r="G47" s="347">
        <v>50000</v>
      </c>
      <c r="H47" s="342">
        <v>50000</v>
      </c>
    </row>
    <row r="48" spans="1:8">
      <c r="A48" s="147"/>
      <c r="B48" s="157" t="s">
        <v>385</v>
      </c>
      <c r="C48" s="154"/>
      <c r="D48" s="154"/>
      <c r="E48" s="154"/>
      <c r="F48" s="154"/>
      <c r="G48" s="347"/>
      <c r="H48" s="342">
        <v>200000</v>
      </c>
    </row>
    <row r="49" spans="1:8">
      <c r="A49" s="154"/>
      <c r="B49" s="157" t="s">
        <v>424</v>
      </c>
      <c r="C49" s="154"/>
      <c r="D49" s="147"/>
      <c r="E49" s="147"/>
      <c r="F49" s="147"/>
      <c r="G49" s="343">
        <v>25000</v>
      </c>
      <c r="H49" s="342">
        <v>50000</v>
      </c>
    </row>
    <row r="50" spans="1:8">
      <c r="A50" s="147"/>
      <c r="B50" s="157" t="s">
        <v>426</v>
      </c>
      <c r="C50" s="154"/>
      <c r="D50" s="147"/>
      <c r="E50" s="147"/>
      <c r="F50" s="147"/>
      <c r="G50" s="343">
        <v>345048</v>
      </c>
      <c r="H50" s="342">
        <f>435000-69000</f>
        <v>366000</v>
      </c>
    </row>
    <row r="51" spans="1:8" ht="12" customHeight="1">
      <c r="A51" s="161"/>
      <c r="B51" s="159" t="s">
        <v>427</v>
      </c>
      <c r="C51" s="160"/>
      <c r="D51" s="161"/>
      <c r="E51" s="161"/>
      <c r="F51" s="161"/>
      <c r="G51" s="335">
        <v>47000</v>
      </c>
      <c r="H51" s="342">
        <v>7000</v>
      </c>
    </row>
    <row r="52" spans="1:8" hidden="1">
      <c r="A52" s="147"/>
      <c r="B52" s="152" t="s">
        <v>428</v>
      </c>
      <c r="C52" s="492"/>
      <c r="D52" s="492"/>
      <c r="E52" s="492"/>
      <c r="F52" s="492"/>
      <c r="G52" s="343">
        <v>21600</v>
      </c>
      <c r="H52" s="342"/>
    </row>
    <row r="53" spans="1:8">
      <c r="A53" s="147"/>
      <c r="B53" s="152" t="s">
        <v>429</v>
      </c>
      <c r="C53" s="154"/>
      <c r="D53" s="153"/>
      <c r="E53" s="153"/>
      <c r="F53" s="153"/>
      <c r="G53" s="343">
        <v>1000</v>
      </c>
      <c r="H53" s="342">
        <v>5000</v>
      </c>
    </row>
    <row r="54" spans="1:8">
      <c r="A54" s="147"/>
      <c r="B54" s="152" t="s">
        <v>430</v>
      </c>
      <c r="C54" s="154"/>
      <c r="D54" s="153"/>
      <c r="E54" s="153"/>
      <c r="F54" s="153"/>
      <c r="G54" s="343">
        <v>120000</v>
      </c>
      <c r="H54" s="342">
        <v>40000</v>
      </c>
    </row>
    <row r="55" spans="1:8">
      <c r="A55" s="147"/>
      <c r="B55" s="152" t="s">
        <v>431</v>
      </c>
      <c r="C55" s="154"/>
      <c r="D55" s="153"/>
      <c r="E55" s="153" t="s">
        <v>386</v>
      </c>
      <c r="F55" s="153"/>
      <c r="G55" s="343">
        <v>36000</v>
      </c>
      <c r="H55" s="342">
        <v>45000</v>
      </c>
    </row>
    <row r="56" spans="1:8" ht="13.5" thickBot="1">
      <c r="A56" s="147"/>
      <c r="B56" s="152" t="s">
        <v>432</v>
      </c>
      <c r="C56" s="154"/>
      <c r="D56" s="153"/>
      <c r="E56" s="153"/>
      <c r="F56" s="153"/>
      <c r="G56" s="343">
        <v>55000</v>
      </c>
      <c r="H56" s="342">
        <v>72000</v>
      </c>
    </row>
    <row r="57" spans="1:8" ht="13.5" hidden="1" thickBot="1">
      <c r="A57" s="161"/>
      <c r="B57" s="155"/>
      <c r="C57" s="160"/>
      <c r="D57" s="334"/>
      <c r="E57" s="334"/>
      <c r="F57" s="334"/>
      <c r="G57" s="335"/>
      <c r="H57" s="348"/>
    </row>
    <row r="58" spans="1:8" ht="15.75" customHeight="1" thickBot="1">
      <c r="A58" s="336"/>
      <c r="B58" s="337" t="s">
        <v>433</v>
      </c>
      <c r="C58" s="338"/>
      <c r="D58" s="339"/>
      <c r="E58" s="339"/>
      <c r="F58" s="339"/>
      <c r="G58" s="349">
        <f>G12+G26+G27+G28+G34+G38+G44</f>
        <v>4445524.8800000008</v>
      </c>
      <c r="H58" s="350">
        <f>H12+H26+H27+H28+H34+H38+H44</f>
        <v>5130757</v>
      </c>
    </row>
    <row r="59" spans="1:8" hidden="1">
      <c r="A59" s="351"/>
      <c r="B59" s="162"/>
      <c r="C59" s="162"/>
      <c r="D59" s="162"/>
      <c r="E59" s="162"/>
      <c r="F59" s="162"/>
      <c r="G59" s="162"/>
    </row>
    <row r="61" spans="1:8">
      <c r="B61" t="s">
        <v>387</v>
      </c>
    </row>
  </sheetData>
  <mergeCells count="10">
    <mergeCell ref="E1:H1"/>
    <mergeCell ref="E2:H2"/>
    <mergeCell ref="E3:H3"/>
    <mergeCell ref="E4:H4"/>
    <mergeCell ref="C29:F29"/>
    <mergeCell ref="C31:F31"/>
    <mergeCell ref="C39:F39"/>
    <mergeCell ref="C52:F52"/>
    <mergeCell ref="A8:G8"/>
    <mergeCell ref="A9:G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E26" sqref="E26"/>
    </sheetView>
  </sheetViews>
  <sheetFormatPr defaultRowHeight="12.75"/>
  <cols>
    <col min="1" max="1" width="29.85546875" customWidth="1"/>
    <col min="2" max="2" width="11" customWidth="1"/>
    <col min="3" max="3" width="10.7109375" customWidth="1"/>
    <col min="4" max="4" width="10.140625" customWidth="1"/>
    <col min="5" max="5" width="13.140625" customWidth="1"/>
    <col min="6" max="6" width="10.42578125" customWidth="1"/>
    <col min="7" max="7" width="1.5703125" customWidth="1"/>
    <col min="8" max="8" width="9.140625" hidden="1" customWidth="1"/>
  </cols>
  <sheetData>
    <row r="1" spans="1:6">
      <c r="E1" s="137" t="s">
        <v>113</v>
      </c>
    </row>
    <row r="2" spans="1:6" ht="18">
      <c r="A2" s="499" t="s">
        <v>253</v>
      </c>
      <c r="B2" s="499"/>
      <c r="C2" s="499"/>
      <c r="D2" s="499"/>
      <c r="E2" s="499"/>
      <c r="F2" s="55"/>
    </row>
    <row r="3" spans="1:6" ht="15">
      <c r="A3" s="500" t="s">
        <v>289</v>
      </c>
      <c r="B3" s="500"/>
      <c r="C3" s="500"/>
      <c r="D3" s="500"/>
      <c r="E3" s="500"/>
      <c r="F3" s="55"/>
    </row>
    <row r="4" spans="1:6">
      <c r="A4" s="42"/>
      <c r="B4" s="42"/>
      <c r="C4" s="42"/>
      <c r="D4" s="42"/>
      <c r="E4" s="42"/>
      <c r="F4" s="42"/>
    </row>
    <row r="5" spans="1:6" ht="12.75" customHeight="1">
      <c r="A5" s="476" t="s">
        <v>254</v>
      </c>
      <c r="B5" s="476" t="s">
        <v>255</v>
      </c>
      <c r="C5" s="478" t="s">
        <v>290</v>
      </c>
      <c r="D5" s="479"/>
      <c r="E5" s="480"/>
      <c r="F5" s="42" t="s">
        <v>477</v>
      </c>
    </row>
    <row r="6" spans="1:6">
      <c r="A6" s="477"/>
      <c r="B6" s="477"/>
      <c r="C6" s="124" t="s">
        <v>291</v>
      </c>
      <c r="D6" s="124" t="s">
        <v>292</v>
      </c>
      <c r="E6" s="124" t="s">
        <v>293</v>
      </c>
      <c r="F6" s="121"/>
    </row>
    <row r="7" spans="1:6" ht="12.75" customHeight="1">
      <c r="A7" s="138"/>
      <c r="B7" s="138"/>
      <c r="C7" s="503" t="s">
        <v>294</v>
      </c>
      <c r="D7" s="504"/>
      <c r="E7" s="504"/>
      <c r="F7" s="505"/>
    </row>
    <row r="8" spans="1:6">
      <c r="A8" s="138"/>
      <c r="B8" s="121" t="s">
        <v>295</v>
      </c>
      <c r="C8" s="124">
        <f>2350+24+24</f>
        <v>2398</v>
      </c>
      <c r="D8" s="124">
        <v>2250</v>
      </c>
      <c r="E8" s="124">
        <v>2200</v>
      </c>
      <c r="F8" s="121"/>
    </row>
    <row r="9" spans="1:6" ht="45" customHeight="1">
      <c r="A9" s="101" t="s">
        <v>208</v>
      </c>
      <c r="B9" s="102"/>
      <c r="C9" s="104">
        <f>1/C8*C10</f>
        <v>4.837364470391993E-2</v>
      </c>
      <c r="D9" s="104">
        <f>1/D8*D10</f>
        <v>0.49955555555555559</v>
      </c>
      <c r="E9" s="104">
        <f>1/E8*E10</f>
        <v>0.84636363636363632</v>
      </c>
      <c r="F9" s="104">
        <f>SUM(C9:E9)</f>
        <v>1.3942928366231118</v>
      </c>
    </row>
    <row r="10" spans="1:6" ht="25.5">
      <c r="A10" s="101" t="s">
        <v>296</v>
      </c>
      <c r="B10" s="102" t="s">
        <v>295</v>
      </c>
      <c r="C10" s="139">
        <f>[1]подр!$Q$2104</f>
        <v>116</v>
      </c>
      <c r="D10" s="139">
        <f>[1]подр!$Q$2105+[3]Трифон!$U$664+[2]полн.спис!$T$930</f>
        <v>1124</v>
      </c>
      <c r="E10" s="139">
        <f>[1]подр!$Q$2106+[3]Трифон!$U$665+[2]полн.спис!$T$931</f>
        <v>1862</v>
      </c>
      <c r="F10" s="139">
        <f>SUM(C10:E10)</f>
        <v>3102</v>
      </c>
    </row>
    <row r="11" spans="1:6" ht="39.75" customHeight="1">
      <c r="A11" s="55"/>
      <c r="B11" s="55"/>
      <c r="C11" s="55"/>
      <c r="D11" s="55"/>
      <c r="E11" s="55"/>
      <c r="F11" s="55"/>
    </row>
    <row r="12" spans="1:6" ht="63.75" customHeight="1">
      <c r="A12" s="55"/>
      <c r="B12" s="55"/>
      <c r="C12" s="55"/>
      <c r="D12" s="55"/>
      <c r="E12" s="55"/>
      <c r="F12" s="55"/>
    </row>
    <row r="13" spans="1:6" ht="18">
      <c r="A13" s="499" t="s">
        <v>253</v>
      </c>
      <c r="B13" s="499"/>
      <c r="C13" s="499"/>
      <c r="D13" s="499"/>
      <c r="E13" s="499"/>
      <c r="F13" s="55"/>
    </row>
    <row r="14" spans="1:6" ht="15">
      <c r="A14" s="500" t="s">
        <v>318</v>
      </c>
      <c r="B14" s="500"/>
      <c r="C14" s="500"/>
      <c r="D14" s="500"/>
      <c r="E14" s="500"/>
      <c r="F14" s="55"/>
    </row>
    <row r="15" spans="1:6">
      <c r="A15" s="42"/>
      <c r="B15" s="42"/>
      <c r="C15" s="42"/>
      <c r="D15" s="42"/>
      <c r="E15" s="42"/>
      <c r="F15" s="42"/>
    </row>
    <row r="16" spans="1:6">
      <c r="A16" s="506" t="s">
        <v>254</v>
      </c>
      <c r="B16" s="506" t="s">
        <v>255</v>
      </c>
      <c r="C16" s="484" t="s">
        <v>290</v>
      </c>
      <c r="D16" s="484"/>
      <c r="E16" s="484"/>
      <c r="F16" s="121" t="s">
        <v>477</v>
      </c>
    </row>
    <row r="17" spans="1:8">
      <c r="A17" s="506"/>
      <c r="B17" s="506"/>
      <c r="C17" s="124" t="s">
        <v>291</v>
      </c>
      <c r="D17" s="124" t="s">
        <v>292</v>
      </c>
      <c r="E17" s="124" t="s">
        <v>293</v>
      </c>
      <c r="F17" s="121"/>
    </row>
    <row r="18" spans="1:8" ht="12.75" customHeight="1">
      <c r="A18" s="138"/>
      <c r="B18" s="138"/>
      <c r="C18" s="503" t="s">
        <v>294</v>
      </c>
      <c r="D18" s="504"/>
      <c r="E18" s="504"/>
      <c r="F18" s="505"/>
    </row>
    <row r="19" spans="1:8">
      <c r="A19" s="138"/>
      <c r="B19" s="121" t="s">
        <v>295</v>
      </c>
      <c r="C19" s="124">
        <v>450</v>
      </c>
      <c r="D19" s="124">
        <v>325</v>
      </c>
      <c r="E19" s="124">
        <v>310</v>
      </c>
      <c r="F19" s="121"/>
    </row>
    <row r="20" spans="1:8" ht="38.25">
      <c r="A20" s="101" t="s">
        <v>209</v>
      </c>
      <c r="B20" s="102"/>
      <c r="C20" s="104">
        <f>1/C19*C21</f>
        <v>0.25777777777777777</v>
      </c>
      <c r="D20" s="104">
        <f>1/D19*D21</f>
        <v>3.4584615384615383</v>
      </c>
      <c r="E20" s="104">
        <f>1/E19*E21</f>
        <v>6.0064516129032262</v>
      </c>
      <c r="F20" s="104">
        <f>SUM(C20:E20)</f>
        <v>9.7226909291425425</v>
      </c>
    </row>
    <row r="21" spans="1:8" ht="25.5">
      <c r="A21" s="101" t="s">
        <v>296</v>
      </c>
      <c r="B21" s="102" t="s">
        <v>295</v>
      </c>
      <c r="C21" s="102">
        <f>C10</f>
        <v>116</v>
      </c>
      <c r="D21" s="102">
        <f>D10</f>
        <v>1124</v>
      </c>
      <c r="E21" s="102">
        <f>E10</f>
        <v>1862</v>
      </c>
      <c r="F21" s="143">
        <f>SUM(C21:E21)</f>
        <v>3102</v>
      </c>
    </row>
    <row r="22" spans="1:8" ht="12.75" customHeight="1">
      <c r="A22" s="138"/>
      <c r="B22" s="138"/>
      <c r="C22" s="489" t="s">
        <v>294</v>
      </c>
      <c r="D22" s="490"/>
      <c r="E22" s="490"/>
      <c r="F22" s="491"/>
    </row>
    <row r="23" spans="1:8">
      <c r="A23" s="501" t="s">
        <v>319</v>
      </c>
      <c r="B23" s="502"/>
      <c r="C23" s="138">
        <v>41</v>
      </c>
      <c r="D23" s="138">
        <v>39</v>
      </c>
      <c r="E23" s="138">
        <v>37</v>
      </c>
      <c r="F23" s="102"/>
    </row>
    <row r="24" spans="1:8" ht="38.25">
      <c r="A24" s="101" t="s">
        <v>210</v>
      </c>
      <c r="B24" s="102"/>
      <c r="C24" s="104">
        <f>1/C23*C25</f>
        <v>0.11103414634146341</v>
      </c>
      <c r="D24" s="104">
        <f>1/D23*D25</f>
        <v>0.98857435897435919</v>
      </c>
      <c r="E24" s="104">
        <f>1/E23*E25</f>
        <v>1.5582262162162166</v>
      </c>
      <c r="F24" s="104">
        <f>SUM(C24:E24)</f>
        <v>2.6578347215320393</v>
      </c>
    </row>
    <row r="25" spans="1:8" ht="25.5">
      <c r="A25" s="101" t="s">
        <v>320</v>
      </c>
      <c r="B25" s="71" t="s">
        <v>237</v>
      </c>
      <c r="C25" s="141">
        <f>[1]подр!$S$2104/1000</f>
        <v>4.5523999999999996</v>
      </c>
      <c r="D25" s="141">
        <f>([1]подр!$S$2105+[3]Трифон!$AC$664+[2]полн.спис!$AD$930)/1000</f>
        <v>38.554400000000008</v>
      </c>
      <c r="E25" s="104">
        <f>([1]подр!$S$2106+[3]Трифон!$AC$665+[2]полн.спис!$AD$931)/1000-1.17</f>
        <v>57.654370000000014</v>
      </c>
      <c r="F25" s="375">
        <f>SUM(C25:E25)</f>
        <v>100.76117000000002</v>
      </c>
    </row>
    <row r="26" spans="1:8">
      <c r="A26" s="42" t="s">
        <v>477</v>
      </c>
      <c r="B26" s="71"/>
      <c r="C26" s="102"/>
      <c r="D26" s="102"/>
      <c r="E26" s="102"/>
      <c r="F26" s="142">
        <f>F20+F24</f>
        <v>12.380525650674581</v>
      </c>
    </row>
    <row r="29" spans="1:8">
      <c r="A29" s="486" t="s">
        <v>175</v>
      </c>
      <c r="B29" s="486"/>
      <c r="C29" s="486"/>
      <c r="D29" s="486"/>
      <c r="E29" s="486"/>
      <c r="F29" s="486"/>
      <c r="G29" s="486"/>
      <c r="H29" s="486"/>
    </row>
  </sheetData>
  <mergeCells count="15">
    <mergeCell ref="C22:F22"/>
    <mergeCell ref="A29:H29"/>
    <mergeCell ref="A23:B23"/>
    <mergeCell ref="C7:F7"/>
    <mergeCell ref="A13:E13"/>
    <mergeCell ref="A14:E14"/>
    <mergeCell ref="A16:A17"/>
    <mergeCell ref="B16:B17"/>
    <mergeCell ref="C16:E16"/>
    <mergeCell ref="C18:F18"/>
    <mergeCell ref="A2:E2"/>
    <mergeCell ref="A3:E3"/>
    <mergeCell ref="A5:A6"/>
    <mergeCell ref="B5:B6"/>
    <mergeCell ref="C5:E5"/>
  </mergeCells>
  <phoneticPr fontId="2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авар2</vt:lpstr>
      <vt:lpstr>авар1</vt:lpstr>
      <vt:lpstr>небл.ж2</vt:lpstr>
      <vt:lpstr>полубл.ж2</vt:lpstr>
      <vt:lpstr>полубл.ж1</vt:lpstr>
      <vt:lpstr>Лист1</vt:lpstr>
      <vt:lpstr>расч</vt:lpstr>
      <vt:lpstr>смета</vt:lpstr>
      <vt:lpstr>таб.4</vt:lpstr>
      <vt:lpstr>таб.6</vt:lpstr>
      <vt:lpstr>таб5.1</vt:lpstr>
      <vt:lpstr>распред</vt:lpstr>
      <vt:lpstr>Лист6</vt:lpstr>
      <vt:lpstr>табл.1.2</vt:lpstr>
      <vt:lpstr>табл.1</vt:lpstr>
      <vt:lpstr>обяз</vt:lpstr>
      <vt:lpstr>об.небл</vt:lpstr>
      <vt:lpstr>доп.небл</vt:lpstr>
      <vt:lpstr>до.полуб</vt:lpstr>
      <vt:lpstr>об.полубл</vt:lpstr>
      <vt:lpstr>до.малоэт</vt:lpstr>
      <vt:lpstr>об.малоэт</vt:lpstr>
      <vt:lpstr>доп.многоэт</vt:lpstr>
      <vt:lpstr>благ.ж2</vt:lpstr>
      <vt:lpstr>небл.ж1</vt:lpstr>
      <vt:lpstr>доп.усл.</vt:lpstr>
      <vt:lpstr>об.многоэт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Unit_1</cp:lastModifiedBy>
  <cp:lastPrinted>2014-09-15T03:51:32Z</cp:lastPrinted>
  <dcterms:created xsi:type="dcterms:W3CDTF">2010-11-23T05:38:01Z</dcterms:created>
  <dcterms:modified xsi:type="dcterms:W3CDTF">2014-09-15T04:53:04Z</dcterms:modified>
</cp:coreProperties>
</file>